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020" firstSheet="6" activeTab="6"/>
  </bookViews>
  <sheets>
    <sheet name="AI" sheetId="7" r:id="rId1"/>
    <sheet name="PRRS" sheetId="13" r:id="rId2"/>
    <sheet name="ASF" sheetId="9" r:id="rId3"/>
    <sheet name="FMD" sheetId="11" r:id="rId4"/>
    <sheet name="ND" sheetId="14" r:id="rId5"/>
    <sheet name="CSF" sheetId="12" r:id="rId6"/>
    <sheet name="PED" sheetId="10" r:id="rId7"/>
  </sheets>
  <calcPr calcId="179020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4" l="1"/>
  <c r="M8" i="14"/>
  <c r="K7" i="14"/>
  <c r="M7" i="14"/>
  <c r="K6" i="14"/>
  <c r="M6" i="14"/>
  <c r="K5" i="14"/>
  <c r="M5" i="14"/>
  <c r="K4" i="14"/>
  <c r="M4" i="14"/>
  <c r="K3" i="14"/>
  <c r="M3" i="14"/>
  <c r="K2" i="14"/>
  <c r="M2" i="14"/>
  <c r="L3" i="13"/>
  <c r="M3" i="13"/>
  <c r="O3" i="13"/>
  <c r="L4" i="13"/>
  <c r="M4" i="13"/>
  <c r="O4" i="13"/>
  <c r="L5" i="13"/>
  <c r="M5" i="13"/>
  <c r="O5" i="13"/>
  <c r="L6" i="13"/>
  <c r="M6" i="13"/>
  <c r="O6" i="13"/>
  <c r="L7" i="13"/>
  <c r="M7" i="13"/>
  <c r="O7" i="13"/>
  <c r="L8" i="13"/>
  <c r="M8" i="13"/>
  <c r="O8" i="13"/>
  <c r="L9" i="13"/>
  <c r="M9" i="13"/>
  <c r="O9" i="13"/>
  <c r="L10" i="13"/>
  <c r="M10" i="13"/>
  <c r="O10" i="13"/>
  <c r="L11" i="13"/>
  <c r="M11" i="13"/>
  <c r="O11" i="13"/>
  <c r="L12" i="13"/>
  <c r="M12" i="13"/>
  <c r="O12" i="13"/>
  <c r="L13" i="13"/>
  <c r="M13" i="13"/>
  <c r="O13" i="13"/>
  <c r="L14" i="13"/>
  <c r="M14" i="13"/>
  <c r="O14" i="13"/>
  <c r="L2" i="13"/>
  <c r="M2" i="13"/>
  <c r="O2" i="13"/>
  <c r="K3" i="12"/>
  <c r="M3" i="12"/>
  <c r="K4" i="12"/>
  <c r="M4" i="12"/>
  <c r="K5" i="12"/>
  <c r="M5" i="12"/>
  <c r="K6" i="12"/>
  <c r="M6" i="12"/>
  <c r="K7" i="12"/>
  <c r="M7" i="12"/>
  <c r="K8" i="12"/>
  <c r="M8" i="12"/>
  <c r="K9" i="12"/>
  <c r="M9" i="12"/>
  <c r="K10" i="12"/>
  <c r="M10" i="12"/>
  <c r="K2" i="12"/>
  <c r="M2" i="12"/>
  <c r="K2" i="11"/>
  <c r="M2" i="11"/>
  <c r="K3" i="11"/>
  <c r="M3" i="11"/>
  <c r="K4" i="11"/>
  <c r="M4" i="11"/>
  <c r="K5" i="11"/>
  <c r="M5" i="11"/>
  <c r="K6" i="11"/>
  <c r="M6" i="11"/>
  <c r="K7" i="11"/>
  <c r="M7" i="11"/>
  <c r="K8" i="11"/>
  <c r="M8" i="11"/>
  <c r="K9" i="11"/>
  <c r="M9" i="11"/>
  <c r="K10" i="11"/>
  <c r="M10" i="11"/>
  <c r="K11" i="11"/>
  <c r="M11" i="11"/>
  <c r="K12" i="11"/>
  <c r="M12" i="11"/>
  <c r="K13" i="11"/>
  <c r="M13" i="11"/>
  <c r="M14" i="11"/>
  <c r="K15" i="11"/>
  <c r="M15" i="11"/>
  <c r="L2" i="10"/>
  <c r="L3" i="10"/>
  <c r="L4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K3" i="9"/>
  <c r="M3" i="9"/>
  <c r="K4" i="9"/>
  <c r="M4" i="9"/>
  <c r="K5" i="9"/>
  <c r="M5" i="9"/>
  <c r="K6" i="9"/>
  <c r="M6" i="9"/>
  <c r="K7" i="9"/>
  <c r="M7" i="9"/>
  <c r="K8" i="9"/>
  <c r="M8" i="9"/>
  <c r="K9" i="9"/>
  <c r="M9" i="9"/>
  <c r="K10" i="9"/>
  <c r="M10" i="9"/>
  <c r="K11" i="9"/>
  <c r="M11" i="9"/>
  <c r="K2" i="9"/>
  <c r="M2" i="9"/>
  <c r="K3" i="7"/>
  <c r="M3" i="7"/>
  <c r="K4" i="7"/>
  <c r="M4" i="7"/>
  <c r="K5" i="7"/>
  <c r="M5" i="7"/>
  <c r="K6" i="7"/>
  <c r="M6" i="7"/>
  <c r="K7" i="7"/>
  <c r="M7" i="7"/>
  <c r="K8" i="7"/>
  <c r="M8" i="7"/>
  <c r="K9" i="7"/>
  <c r="M9" i="7"/>
  <c r="K10" i="7"/>
  <c r="M10" i="7"/>
  <c r="K11" i="7"/>
  <c r="M11" i="7"/>
  <c r="K12" i="7"/>
  <c r="M12" i="7"/>
  <c r="K13" i="7"/>
  <c r="M13" i="7"/>
  <c r="K14" i="7"/>
  <c r="M14" i="7"/>
  <c r="K15" i="7"/>
  <c r="M15" i="7"/>
  <c r="K16" i="7"/>
  <c r="M16" i="7"/>
  <c r="K17" i="7"/>
  <c r="M17" i="7"/>
  <c r="K18" i="7"/>
  <c r="M18" i="7"/>
  <c r="K19" i="7"/>
  <c r="M19" i="7"/>
  <c r="K20" i="7"/>
  <c r="M20" i="7"/>
  <c r="K21" i="7"/>
  <c r="M21" i="7"/>
  <c r="K22" i="7"/>
  <c r="M22" i="7"/>
  <c r="K23" i="7"/>
  <c r="M23" i="7"/>
  <c r="K24" i="7"/>
  <c r="M24" i="7"/>
  <c r="K25" i="7"/>
  <c r="M25" i="7"/>
  <c r="K26" i="7"/>
  <c r="M26" i="7"/>
  <c r="K27" i="7"/>
  <c r="M27" i="7"/>
  <c r="K28" i="7"/>
  <c r="M28" i="7"/>
  <c r="K29" i="7"/>
  <c r="M29" i="7"/>
  <c r="K30" i="7"/>
  <c r="M30" i="7"/>
  <c r="K31" i="7"/>
  <c r="M31" i="7"/>
  <c r="K32" i="7"/>
  <c r="M32" i="7"/>
  <c r="K33" i="7"/>
  <c r="M33" i="7"/>
  <c r="K34" i="7"/>
  <c r="M34" i="7"/>
  <c r="K35" i="7"/>
  <c r="M35" i="7"/>
  <c r="K36" i="7"/>
  <c r="M36" i="7"/>
  <c r="K2" i="7"/>
  <c r="M2" i="7"/>
  <c r="I2" i="7"/>
</calcChain>
</file>

<file path=xl/sharedStrings.xml><?xml version="1.0" encoding="utf-8"?>
<sst xmlns="http://schemas.openxmlformats.org/spreadsheetml/2006/main" count="858" uniqueCount="116">
  <si>
    <t>Virus name (disease full name)</t>
  </si>
  <si>
    <t>Strain</t>
  </si>
  <si>
    <t>Species affected (avian or swine)</t>
  </si>
  <si>
    <t>Product group</t>
  </si>
  <si>
    <t>Product/or medium</t>
  </si>
  <si>
    <t>Treatment (heat/acid/fermentation)</t>
  </si>
  <si>
    <t>aw</t>
  </si>
  <si>
    <t>RH (Relative Humidity)</t>
  </si>
  <si>
    <t>pH</t>
  </si>
  <si>
    <t>T (°C)</t>
  </si>
  <si>
    <t>D (min)</t>
  </si>
  <si>
    <t>z (°C)</t>
  </si>
  <si>
    <t>log D</t>
  </si>
  <si>
    <t>log D (model)</t>
  </si>
  <si>
    <t>Ref</t>
  </si>
  <si>
    <t>Year</t>
  </si>
  <si>
    <t>Title</t>
  </si>
  <si>
    <t>Remarks</t>
  </si>
  <si>
    <t>Influenza</t>
  </si>
  <si>
    <t>H1N1</t>
  </si>
  <si>
    <t>swine</t>
  </si>
  <si>
    <t>liquid medium</t>
  </si>
  <si>
    <t xml:space="preserve">medium with d,l-lactic acid </t>
  </si>
  <si>
    <t>Treating with fermentation metabolites</t>
  </si>
  <si>
    <t>Lange-Starke</t>
  </si>
  <si>
    <t>This is not avian but swine influenza. The counts were reduced by 2.5 logs after 3 days. Only one timepoint was measured</t>
  </si>
  <si>
    <t>Avian influenza</t>
  </si>
  <si>
    <t>H7N9</t>
  </si>
  <si>
    <t>avian</t>
  </si>
  <si>
    <t>Zou</t>
  </si>
  <si>
    <t>Not exact numbers, since Infectivity was measured, not the virus counts. 7.7 log reduction was asumed based on no infected embryos (0 out of 6)</t>
  </si>
  <si>
    <t>H10N7</t>
  </si>
  <si>
    <t>animal by products</t>
  </si>
  <si>
    <t>Biomal (ABP) with 2–3 % formic acid</t>
  </si>
  <si>
    <t>acidification with formic acid</t>
  </si>
  <si>
    <t>5, 14, 24</t>
  </si>
  <si>
    <t>Vinneras</t>
  </si>
  <si>
    <t>Initial theoretical load of 6.1 was taken as initial count, 1log detection limit was taken as the final count.</t>
  </si>
  <si>
    <t>Low pathogenic AIV A/Ostrich/Denmark/72420/96 H5N2</t>
  </si>
  <si>
    <t>solid meat</t>
  </si>
  <si>
    <t>acidified chicken pulp</t>
  </si>
  <si>
    <t>acidification</t>
  </si>
  <si>
    <t>Kabell</t>
  </si>
  <si>
    <t>Inactivation of avian influenza virus H5N2 in acidified chicken pulp</t>
  </si>
  <si>
    <t>10 min was the first time point measured. Initial counts of 8 logs was taken as inactivation value (virus was not detected)</t>
  </si>
  <si>
    <t>low pathogenic avian influenza</t>
  </si>
  <si>
    <t>water</t>
  </si>
  <si>
    <t>Brown</t>
  </si>
  <si>
    <t>Avian influenza virus in water: Infectivity is dependent on pH, salinity and temperature</t>
  </si>
  <si>
    <t>Experimental datapoints were taken.</t>
  </si>
  <si>
    <t>ND</t>
  </si>
  <si>
    <t>Lu</t>
  </si>
  <si>
    <t>Survival of avian influenza virus H7N2 in SPF chickens and their environments</t>
  </si>
  <si>
    <t>At pH=2 the virus lost infectivity in 5 min. Initial load was 5.5 log, which was taken as a reduction</t>
  </si>
  <si>
    <t>for A/mottled duck/LA/38M/ 87 (H6N2)</t>
  </si>
  <si>
    <t>Stallknecht</t>
  </si>
  <si>
    <t>Effects of pH, Temperature, and Salinity on Persistence of Avian Influenza Viruses inWater</t>
  </si>
  <si>
    <t>Salinity 20 ppt</t>
  </si>
  <si>
    <t>Salinity 0 ppt</t>
  </si>
  <si>
    <t>7 articles</t>
  </si>
  <si>
    <t>Half-life (h)</t>
  </si>
  <si>
    <t>Half-life (min)</t>
  </si>
  <si>
    <t>D (min)=3.3*half-life</t>
  </si>
  <si>
    <t>Bloemraad</t>
  </si>
  <si>
    <t>Porcine reproductive and respiratory syndrome: temperature and pH stability of Lelystad virus and its survival in tissue specimens from viraemic pigs</t>
  </si>
  <si>
    <t>African Swine Fever</t>
  </si>
  <si>
    <t>Tengani</t>
  </si>
  <si>
    <t>liquid culture medium</t>
  </si>
  <si>
    <t>Plowright</t>
  </si>
  <si>
    <t>STABILITY OF AFRICAN SWINE FEVER VIRUS WITH PARTICULAR REFERENCE TO HEAT AND PH INACTIVATION</t>
  </si>
  <si>
    <t>Calculated from Fig 5 datapoints at 4 hours. Tailing is not included.</t>
  </si>
  <si>
    <t>F86</t>
  </si>
  <si>
    <t>Calculated from Fig 6 datapoints at 21 hours. Tailing is not included.</t>
  </si>
  <si>
    <t>Calculated from Fig 6 datapoints at 4 hours. Tailing is not included.</t>
  </si>
  <si>
    <t xml:space="preserve">Calculated from Fig 6 datapoints at 2 hours. </t>
  </si>
  <si>
    <t>1 article</t>
  </si>
  <si>
    <t>Foot and Mouth Disease</t>
  </si>
  <si>
    <t>A-119</t>
  </si>
  <si>
    <t>acidification with HCl</t>
  </si>
  <si>
    <t>Bachrach</t>
  </si>
  <si>
    <t>FOOT-AND-MOUTH DISEASE VIRUS - STABILITY OF ITS RIBONUCLEIC ACID CORE TO ACID AND TO HEAT</t>
  </si>
  <si>
    <r>
      <t>4</t>
    </r>
    <r>
      <rPr>
        <sz val="11"/>
        <color theme="1"/>
        <rFont val="Calibri"/>
        <family val="2"/>
      </rPr>
      <t>°C</t>
    </r>
  </si>
  <si>
    <t>Inactivation of Foot-and-Mouth Disease Virus by pH and Temperature Changes and by Formaldehyde</t>
  </si>
  <si>
    <t>calculated by authors, presented in text</t>
  </si>
  <si>
    <t>calculated based on the graph</t>
  </si>
  <si>
    <t>isotonic solution</t>
  </si>
  <si>
    <t>Pharo</t>
  </si>
  <si>
    <t>Foot-and-mouth disease: an assessment of the risks facing New Zealand</t>
  </si>
  <si>
    <t>data originally was exctacted from Bachrach et al., 1975.</t>
  </si>
  <si>
    <t>Gilbert</t>
  </si>
  <si>
    <t>Viricidal effects of Lactobacillus and yeast fermentation</t>
  </si>
  <si>
    <t>Calculated from table 2. day 1 was the first time point measured, which was used for calculations</t>
  </si>
  <si>
    <t>Half life (min)</t>
  </si>
  <si>
    <t>Classical Swine Fever</t>
  </si>
  <si>
    <t>4°C</t>
  </si>
  <si>
    <t>Edwards</t>
  </si>
  <si>
    <t>Survival and inactivation of classical swine fever virus</t>
  </si>
  <si>
    <t>Data from Depner 1992. Inactivation is presented as half/life (0.301 log reduction), was multiplied by 3.3 to get to the D value</t>
  </si>
  <si>
    <t>21°C</t>
  </si>
  <si>
    <t>37°C</t>
  </si>
  <si>
    <t>Porcine Epidemic diarrhea (HP-PED)</t>
  </si>
  <si>
    <t>CO/13</t>
  </si>
  <si>
    <t>manure slurry</t>
  </si>
  <si>
    <t>Alkalization with lime</t>
  </si>
  <si>
    <t>Stevens</t>
  </si>
  <si>
    <t>Stable between pH=7-9.5, inactivated at 10-12</t>
  </si>
  <si>
    <t>CO/14</t>
  </si>
  <si>
    <t>Tailing was observed, both average D-values are included</t>
  </si>
  <si>
    <t>CO/15</t>
  </si>
  <si>
    <t>CV777</t>
  </si>
  <si>
    <t>Liquid medium</t>
  </si>
  <si>
    <t>Culture medium</t>
  </si>
  <si>
    <t>Alkalization</t>
  </si>
  <si>
    <t>Quist-Rybachuk</t>
  </si>
  <si>
    <t>At 4C there was no inactivation by high pH</t>
  </si>
  <si>
    <t>Plasma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</si>
</sst>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">
    <xf numFmtId="0" fontId="0" fillId="0" borderId="0" xfId="0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1" fillId="2" borderId="1" xfId="1" applyAlignment="1">
      <alignment horizontal="center" wrapText="1"/>
    </xf>
    <xf numFmtId="0" fontId="1" fillId="2" borderId="1" xfId="1" applyAlignment="1">
      <alignment horizontal="left" wrapText="1"/>
    </xf>
    <xf numFmtId="0" fontId="2" fillId="0" borderId="0" xfId="0" applyFont="1" applyAlignment="1">
      <alignment wrapText="1"/>
    </xf>
  </cellXfs>
  <cellStyles count="2">
    <cellStyle name="Berechnung" xfId="1" builtinId="22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pH stability of Avian influenza virus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AI!$I$2:$I$36</c:f>
              <c:numCache>
                <c:formatCode>General</c:formatCode>
                <c:ptCount val="35"/>
                <c:pt idx="0">
                  <c:v>5.6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4.5</c:v>
                </c:pt>
                <c:pt idx="5">
                  <c:v>2</c:v>
                </c:pt>
                <c:pt idx="6">
                  <c:v>5.8</c:v>
                </c:pt>
                <c:pt idx="7">
                  <c:v>6.2</c:v>
                </c:pt>
                <c:pt idx="8">
                  <c:v>6.6</c:v>
                </c:pt>
                <c:pt idx="9">
                  <c:v>7</c:v>
                </c:pt>
                <c:pt idx="10">
                  <c:v>7.4</c:v>
                </c:pt>
                <c:pt idx="11">
                  <c:v>7.8</c:v>
                </c:pt>
                <c:pt idx="12">
                  <c:v>8.1999999999999993</c:v>
                </c:pt>
                <c:pt idx="13">
                  <c:v>8.6</c:v>
                </c:pt>
                <c:pt idx="14">
                  <c:v>5.8</c:v>
                </c:pt>
                <c:pt idx="15">
                  <c:v>6.2</c:v>
                </c:pt>
                <c:pt idx="16">
                  <c:v>6.6</c:v>
                </c:pt>
                <c:pt idx="17">
                  <c:v>7</c:v>
                </c:pt>
                <c:pt idx="18">
                  <c:v>7.4</c:v>
                </c:pt>
                <c:pt idx="19">
                  <c:v>7.8</c:v>
                </c:pt>
                <c:pt idx="20">
                  <c:v>8.1999999999999993</c:v>
                </c:pt>
                <c:pt idx="21">
                  <c:v>8.6</c:v>
                </c:pt>
                <c:pt idx="22">
                  <c:v>2</c:v>
                </c:pt>
                <c:pt idx="23">
                  <c:v>6.2</c:v>
                </c:pt>
                <c:pt idx="24">
                  <c:v>7.2</c:v>
                </c:pt>
                <c:pt idx="25">
                  <c:v>8.1999999999999993</c:v>
                </c:pt>
                <c:pt idx="26">
                  <c:v>6.2</c:v>
                </c:pt>
                <c:pt idx="27">
                  <c:v>7.2</c:v>
                </c:pt>
                <c:pt idx="28">
                  <c:v>8.1999999999999993</c:v>
                </c:pt>
                <c:pt idx="29">
                  <c:v>6.2</c:v>
                </c:pt>
                <c:pt idx="30">
                  <c:v>7.2</c:v>
                </c:pt>
                <c:pt idx="31">
                  <c:v>8.1999999999999993</c:v>
                </c:pt>
                <c:pt idx="32">
                  <c:v>6.2</c:v>
                </c:pt>
                <c:pt idx="33">
                  <c:v>7.2</c:v>
                </c:pt>
                <c:pt idx="34">
                  <c:v>8.1999999999999993</c:v>
                </c:pt>
              </c:numCache>
            </c:numRef>
          </c:xVal>
          <c:yVal>
            <c:numRef>
              <c:f>AI!$M$2:$M$36</c:f>
              <c:numCache>
                <c:formatCode>General</c:formatCode>
                <c:ptCount val="35"/>
                <c:pt idx="0">
                  <c:v>3.2375437381428744</c:v>
                </c:pt>
                <c:pt idx="1">
                  <c:v>0.59063052954718054</c:v>
                </c:pt>
                <c:pt idx="2">
                  <c:v>0.59063052954718054</c:v>
                </c:pt>
                <c:pt idx="3">
                  <c:v>2.2718717669227679</c:v>
                </c:pt>
                <c:pt idx="4">
                  <c:v>1.56473566830415</c:v>
                </c:pt>
                <c:pt idx="5">
                  <c:v>9.691001300805642E-2</c:v>
                </c:pt>
                <c:pt idx="6">
                  <c:v>3.5563025007672873</c:v>
                </c:pt>
                <c:pt idx="7">
                  <c:v>3.8573324964312685</c:v>
                </c:pt>
                <c:pt idx="8">
                  <c:v>4.2375437381428744</c:v>
                </c:pt>
                <c:pt idx="9">
                  <c:v>4.4136349971985558</c:v>
                </c:pt>
                <c:pt idx="10">
                  <c:v>4.6354837468149119</c:v>
                </c:pt>
                <c:pt idx="11">
                  <c:v>4.5733358400660675</c:v>
                </c:pt>
                <c:pt idx="12">
                  <c:v>4.5563025007672868</c:v>
                </c:pt>
                <c:pt idx="13">
                  <c:v>4.4593924877592306</c:v>
                </c:pt>
                <c:pt idx="14">
                  <c:v>3.1583624920952498</c:v>
                </c:pt>
                <c:pt idx="15">
                  <c:v>3.3344537511509307</c:v>
                </c:pt>
                <c:pt idx="16">
                  <c:v>3.7024305364455254</c:v>
                </c:pt>
                <c:pt idx="17">
                  <c:v>3.8573324964312685</c:v>
                </c:pt>
                <c:pt idx="18">
                  <c:v>4.0034605321095063</c:v>
                </c:pt>
                <c:pt idx="19">
                  <c:v>3.971275848738105</c:v>
                </c:pt>
                <c:pt idx="20">
                  <c:v>3.9365137424788932</c:v>
                </c:pt>
                <c:pt idx="21">
                  <c:v>3.8987251815894934</c:v>
                </c:pt>
                <c:pt idx="22">
                  <c:v>-4.1392685158225057E-2</c:v>
                </c:pt>
                <c:pt idx="23">
                  <c:v>3.7966346560776567</c:v>
                </c:pt>
                <c:pt idx="24">
                  <c:v>3.6959644941962937</c:v>
                </c:pt>
                <c:pt idx="25">
                  <c:v>3.3322876893944233</c:v>
                </c:pt>
                <c:pt idx="26">
                  <c:v>3.459392487759231</c:v>
                </c:pt>
                <c:pt idx="27">
                  <c:v>4.0444191397884124</c:v>
                </c:pt>
                <c:pt idx="28">
                  <c:v>4.0791812460476251</c:v>
                </c:pt>
                <c:pt idx="29">
                  <c:v>4.2552725051033065</c:v>
                </c:pt>
                <c:pt idx="30">
                  <c:v>4.1169698069370249</c:v>
                </c:pt>
                <c:pt idx="31">
                  <c:v>3.8796088911424209</c:v>
                </c:pt>
                <c:pt idx="32">
                  <c:v>3.7433891441244316</c:v>
                </c:pt>
                <c:pt idx="33">
                  <c:v>4.1169698069370249</c:v>
                </c:pt>
                <c:pt idx="34">
                  <c:v>4.3802112417116064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57-49CE-95D9-541691925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907800"/>
        <c:axId val="546908128"/>
      </c:scatterChart>
      <c:valAx>
        <c:axId val="546907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6908128"/>
        <c:crosses val="autoZero"/>
        <c:crossBetween val="midCat"/>
      </c:valAx>
      <c:valAx>
        <c:axId val="54690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 D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6907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pH stability of PRRS</a:t>
            </a:r>
            <a:r>
              <a:rPr lang="en-GB" baseline="0"/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PRRS!$I$2:$I$14</c:f>
              <c:numCache>
                <c:formatCode>General</c:formatCode>
                <c:ptCount val="13"/>
                <c:pt idx="0">
                  <c:v>5</c:v>
                </c:pt>
                <c:pt idx="1">
                  <c:v>5.25</c:v>
                </c:pt>
                <c:pt idx="2">
                  <c:v>5.5</c:v>
                </c:pt>
                <c:pt idx="3">
                  <c:v>5.75</c:v>
                </c:pt>
                <c:pt idx="4">
                  <c:v>6</c:v>
                </c:pt>
                <c:pt idx="5">
                  <c:v>6.25</c:v>
                </c:pt>
                <c:pt idx="6">
                  <c:v>6.5</c:v>
                </c:pt>
                <c:pt idx="7">
                  <c:v>7</c:v>
                </c:pt>
                <c:pt idx="8">
                  <c:v>7.5</c:v>
                </c:pt>
                <c:pt idx="9">
                  <c:v>7.75</c:v>
                </c:pt>
                <c:pt idx="10">
                  <c:v>8</c:v>
                </c:pt>
                <c:pt idx="11">
                  <c:v>8.25</c:v>
                </c:pt>
                <c:pt idx="12">
                  <c:v>8.5</c:v>
                </c:pt>
              </c:numCache>
            </c:numRef>
          </c:xVal>
          <c:yVal>
            <c:numRef>
              <c:f>PRRS!$O$2:$O$14</c:f>
              <c:numCache>
                <c:formatCode>General</c:formatCode>
                <c:ptCount val="13"/>
                <c:pt idx="0">
                  <c:v>2.1095785469043866</c:v>
                </c:pt>
                <c:pt idx="1">
                  <c:v>2.0600931838244683</c:v>
                </c:pt>
                <c:pt idx="2">
                  <c:v>2.7866236696863655</c:v>
                </c:pt>
                <c:pt idx="3">
                  <c:v>3.0494816214498024</c:v>
                </c:pt>
                <c:pt idx="4">
                  <c:v>3.1109127859934511</c:v>
                </c:pt>
                <c:pt idx="5">
                  <c:v>2.9105070121376002</c:v>
                </c:pt>
                <c:pt idx="6">
                  <c:v>2.7605581792474383</c:v>
                </c:pt>
                <c:pt idx="7">
                  <c:v>2.6840550166002606</c:v>
                </c:pt>
                <c:pt idx="8">
                  <c:v>2.4365442766627674</c:v>
                </c:pt>
                <c:pt idx="9">
                  <c:v>2.4365442766627674</c:v>
                </c:pt>
                <c:pt idx="10">
                  <c:v>2.4520012277265928</c:v>
                </c:pt>
                <c:pt idx="11">
                  <c:v>2.4205168312286172</c:v>
                </c:pt>
                <c:pt idx="12">
                  <c:v>2.4038751599093993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B6-43E6-8FC0-AA768B2AB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807912"/>
        <c:axId val="474818736"/>
      </c:scatterChart>
      <c:valAx>
        <c:axId val="474807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4818736"/>
        <c:crosses val="autoZero"/>
        <c:crossBetween val="midCat"/>
      </c:valAx>
      <c:valAx>
        <c:axId val="47481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 D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4807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pH stability of African Swine Fever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ASF!$I$2:$I$11</c:f>
              <c:numCache>
                <c:formatCode>General</c:formatCode>
                <c:ptCount val="10"/>
                <c:pt idx="0">
                  <c:v>5</c:v>
                </c:pt>
                <c:pt idx="1">
                  <c:v>3.9</c:v>
                </c:pt>
                <c:pt idx="2">
                  <c:v>3.4</c:v>
                </c:pt>
                <c:pt idx="3">
                  <c:v>3.1</c:v>
                </c:pt>
                <c:pt idx="4">
                  <c:v>4.8</c:v>
                </c:pt>
                <c:pt idx="5">
                  <c:v>3.9</c:v>
                </c:pt>
                <c:pt idx="6">
                  <c:v>3.4</c:v>
                </c:pt>
                <c:pt idx="7">
                  <c:v>3.1</c:v>
                </c:pt>
                <c:pt idx="8">
                  <c:v>2.7</c:v>
                </c:pt>
                <c:pt idx="9">
                  <c:v>1.9</c:v>
                </c:pt>
              </c:numCache>
            </c:numRef>
          </c:xVal>
          <c:yVal>
            <c:numRef>
              <c:f>ASF!$M$2:$M$11</c:f>
              <c:numCache>
                <c:formatCode>General</c:formatCode>
                <c:ptCount val="10"/>
                <c:pt idx="0">
                  <c:v>2.6812412373755872</c:v>
                </c:pt>
                <c:pt idx="1">
                  <c:v>2.2662678894047694</c:v>
                </c:pt>
                <c:pt idx="2">
                  <c:v>1.7269987279362624</c:v>
                </c:pt>
                <c:pt idx="3">
                  <c:v>1.6398485522173623</c:v>
                </c:pt>
                <c:pt idx="4">
                  <c:v>3.1003705451175629</c:v>
                </c:pt>
                <c:pt idx="5">
                  <c:v>2.7993405494535817</c:v>
                </c:pt>
                <c:pt idx="6">
                  <c:v>1.6812412373755872</c:v>
                </c:pt>
                <c:pt idx="7">
                  <c:v>1.655935372110817</c:v>
                </c:pt>
                <c:pt idx="8">
                  <c:v>1.5351132016973492</c:v>
                </c:pt>
                <c:pt idx="9">
                  <c:v>1.234083206033368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1A-4D67-976D-2D1C6B5A2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825560"/>
        <c:axId val="494826872"/>
      </c:scatterChart>
      <c:valAx>
        <c:axId val="494825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4826872"/>
        <c:crosses val="autoZero"/>
        <c:crossBetween val="midCat"/>
      </c:valAx>
      <c:valAx>
        <c:axId val="494826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 D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4825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pH stability of FMD virus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839400158159528"/>
          <c:y val="0.13004629629629633"/>
          <c:w val="0.84838381339116342"/>
          <c:h val="0.7773611111111110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FMD!$I$2:$I$15</c:f>
              <c:numCache>
                <c:formatCode>General</c:formatCode>
                <c:ptCount val="14"/>
                <c:pt idx="0">
                  <c:v>5</c:v>
                </c:pt>
                <c:pt idx="1">
                  <c:v>6.5</c:v>
                </c:pt>
                <c:pt idx="2">
                  <c:v>10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10</c:v>
                </c:pt>
                <c:pt idx="8">
                  <c:v>9</c:v>
                </c:pt>
                <c:pt idx="9">
                  <c:v>8</c:v>
                </c:pt>
                <c:pt idx="10">
                  <c:v>7.3</c:v>
                </c:pt>
                <c:pt idx="11">
                  <c:v>6.5</c:v>
                </c:pt>
                <c:pt idx="12">
                  <c:v>6</c:v>
                </c:pt>
                <c:pt idx="13">
                  <c:v>5</c:v>
                </c:pt>
              </c:numCache>
            </c:numRef>
          </c:xVal>
          <c:yVal>
            <c:numRef>
              <c:f>FMD!$M$2:$M$15</c:f>
              <c:numCache>
                <c:formatCode>General</c:formatCode>
                <c:ptCount val="14"/>
                <c:pt idx="0">
                  <c:v>9.691001300805642E-2</c:v>
                </c:pt>
                <c:pt idx="1">
                  <c:v>2.9242792860618816</c:v>
                </c:pt>
                <c:pt idx="2">
                  <c:v>2.9242792860618816</c:v>
                </c:pt>
                <c:pt idx="3">
                  <c:v>-0.43933269383026263</c:v>
                </c:pt>
                <c:pt idx="4">
                  <c:v>-0.43933269383026263</c:v>
                </c:pt>
                <c:pt idx="5">
                  <c:v>-1.5563025007672873</c:v>
                </c:pt>
                <c:pt idx="6">
                  <c:v>-1.5563025007672873</c:v>
                </c:pt>
                <c:pt idx="7">
                  <c:v>2.9242792860618816</c:v>
                </c:pt>
                <c:pt idx="8">
                  <c:v>4.0034605321095063</c:v>
                </c:pt>
                <c:pt idx="9">
                  <c:v>4.4805817868291689</c:v>
                </c:pt>
                <c:pt idx="10">
                  <c:v>4.702430536445525</c:v>
                </c:pt>
                <c:pt idx="11">
                  <c:v>2.9242792860618816</c:v>
                </c:pt>
                <c:pt idx="12">
                  <c:v>0</c:v>
                </c:pt>
                <c:pt idx="13">
                  <c:v>-1.7781512503836436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41-4A59-8B45-69E5A3BA4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908784"/>
        <c:axId val="546910752"/>
      </c:scatterChart>
      <c:valAx>
        <c:axId val="546908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pH</a:t>
                </a:r>
              </a:p>
            </c:rich>
          </c:tx>
          <c:layout>
            <c:manualLayout>
              <c:xMode val="edge"/>
              <c:yMode val="edge"/>
              <c:x val="0.43217314101911014"/>
              <c:y val="0.90740744577980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6910752"/>
        <c:crossesAt val="-3"/>
        <c:crossBetween val="midCat"/>
      </c:valAx>
      <c:valAx>
        <c:axId val="54691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 D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6908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pH stability of ND virus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ND!$I$2:$I$8</c:f>
              <c:numCache>
                <c:formatCode>General</c:formatCode>
                <c:ptCount val="7"/>
                <c:pt idx="0">
                  <c:v>3.5</c:v>
                </c:pt>
                <c:pt idx="1">
                  <c:v>4</c:v>
                </c:pt>
                <c:pt idx="2">
                  <c:v>4.5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4.5</c:v>
                </c:pt>
              </c:numCache>
            </c:numRef>
          </c:xVal>
          <c:yVal>
            <c:numRef>
              <c:f>ND!$M$2:$M$8</c:f>
              <c:numCache>
                <c:formatCode>General</c:formatCode>
                <c:ptCount val="7"/>
                <c:pt idx="0">
                  <c:v>2.459392487759231</c:v>
                </c:pt>
                <c:pt idx="1">
                  <c:v>2.6812412373755872</c:v>
                </c:pt>
                <c:pt idx="2">
                  <c:v>2.8573324964312685</c:v>
                </c:pt>
                <c:pt idx="3">
                  <c:v>2.459392487759231</c:v>
                </c:pt>
                <c:pt idx="4">
                  <c:v>2.459392487759231</c:v>
                </c:pt>
                <c:pt idx="5">
                  <c:v>2.5563025007672873</c:v>
                </c:pt>
                <c:pt idx="6">
                  <c:v>2.459392487759231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22-4C00-BD10-BA20EF70E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196872"/>
        <c:axId val="225195560"/>
      </c:scatterChart>
      <c:valAx>
        <c:axId val="225196872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25195560"/>
        <c:crosses val="autoZero"/>
        <c:crossBetween val="midCat"/>
      </c:valAx>
      <c:valAx>
        <c:axId val="225195560"/>
        <c:scaling>
          <c:orientation val="minMax"/>
          <c:max val="6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 D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25196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pH stability of CSF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281714785651793"/>
          <c:y val="0.17171296296296296"/>
          <c:w val="0.85029396325459317"/>
          <c:h val="0.61866469816272962"/>
        </c:manualLayout>
      </c:layout>
      <c:scatterChart>
        <c:scatterStyle val="lineMarker"/>
        <c:varyColors val="0"/>
        <c:ser>
          <c:idx val="0"/>
          <c:order val="0"/>
          <c:tx>
            <c:strRef>
              <c:f>CSF!$J$2</c:f>
              <c:strCache>
                <c:ptCount val="1"/>
                <c:pt idx="0">
                  <c:v>4°C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CSF!$I$2:$I$4</c:f>
              <c:numCache>
                <c:formatCode>General</c:formatCode>
                <c:ptCount val="3"/>
                <c:pt idx="0">
                  <c:v>3</c:v>
                </c:pt>
                <c:pt idx="1">
                  <c:v>3.5</c:v>
                </c:pt>
                <c:pt idx="2">
                  <c:v>4</c:v>
                </c:pt>
              </c:numCache>
            </c:numRef>
          </c:xVal>
          <c:yVal>
            <c:numRef>
              <c:f>CSF!$M$2:$M$4</c:f>
              <c:numCache>
                <c:formatCode>General</c:formatCode>
                <c:ptCount val="3"/>
                <c:pt idx="0">
                  <c:v>4.1417632302757879</c:v>
                </c:pt>
                <c:pt idx="1">
                  <c:v>4.5372144385441304</c:v>
                </c:pt>
                <c:pt idx="2">
                  <c:v>4.7116385382323491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50-40FC-886E-D42D3B06E147}"/>
            </c:ext>
          </c:extLst>
        </c:ser>
        <c:ser>
          <c:idx val="1"/>
          <c:order val="1"/>
          <c:tx>
            <c:strRef>
              <c:f>CSF!$J$5</c:f>
              <c:strCache>
                <c:ptCount val="1"/>
                <c:pt idx="0">
                  <c:v>21°C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CSF!$I$5:$I$8</c:f>
              <c:numCache>
                <c:formatCode>General</c:formatCode>
                <c:ptCount val="4"/>
                <c:pt idx="0">
                  <c:v>3</c:v>
                </c:pt>
                <c:pt idx="1">
                  <c:v>3.5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CSF!$M$5:$M$8</c:f>
              <c:numCache>
                <c:formatCode>General</c:formatCode>
                <c:ptCount val="4"/>
                <c:pt idx="0">
                  <c:v>2.9956351945975501</c:v>
                </c:pt>
                <c:pt idx="1">
                  <c:v>2.9956351945975501</c:v>
                </c:pt>
                <c:pt idx="2">
                  <c:v>3.3380578754197563</c:v>
                </c:pt>
                <c:pt idx="3">
                  <c:v>3.9956351945975501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5C-4A63-8821-C6A26C3D15D0}"/>
            </c:ext>
          </c:extLst>
        </c:ser>
        <c:ser>
          <c:idx val="2"/>
          <c:order val="2"/>
          <c:tx>
            <c:strRef>
              <c:f>CSF!$J$9</c:f>
              <c:strCache>
                <c:ptCount val="1"/>
                <c:pt idx="0">
                  <c:v>37°C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CSF!$I$9:$I$10</c:f>
              <c:numCache>
                <c:formatCode>General</c:formatCode>
                <c:ptCount val="2"/>
                <c:pt idx="0">
                  <c:v>4</c:v>
                </c:pt>
                <c:pt idx="1">
                  <c:v>7</c:v>
                </c:pt>
              </c:numCache>
            </c:numRef>
          </c:xVal>
          <c:yVal>
            <c:numRef>
              <c:f>CSF!$M$9:$M$10</c:f>
              <c:numCache>
                <c:formatCode>General</c:formatCode>
                <c:ptCount val="2"/>
                <c:pt idx="0">
                  <c:v>2.1417632302757879</c:v>
                </c:pt>
                <c:pt idx="1">
                  <c:v>3.1417632302757879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5C-4A63-8821-C6A26C3D1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830808"/>
        <c:axId val="494828184"/>
      </c:scatterChart>
      <c:valAx>
        <c:axId val="494830808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4828184"/>
        <c:crosses val="autoZero"/>
        <c:crossBetween val="midCat"/>
      </c:valAx>
      <c:valAx>
        <c:axId val="494828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 D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4830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331736657917762"/>
          <c:y val="0.52835593467483222"/>
          <c:w val="0.2533652668416447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pH stability of PED virus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PED!$H$2:$H$22</c:f>
              <c:numCache>
                <c:formatCode>General</c:formatCode>
                <c:ptCount val="21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7.2</c:v>
                </c:pt>
                <c:pt idx="4">
                  <c:v>7.2</c:v>
                </c:pt>
                <c:pt idx="5">
                  <c:v>7.2</c:v>
                </c:pt>
                <c:pt idx="6">
                  <c:v>9.1999999999999993</c:v>
                </c:pt>
                <c:pt idx="7">
                  <c:v>9.1999999999999993</c:v>
                </c:pt>
                <c:pt idx="8">
                  <c:v>9.1999999999999993</c:v>
                </c:pt>
                <c:pt idx="9">
                  <c:v>10.199999999999999</c:v>
                </c:pt>
                <c:pt idx="10">
                  <c:v>10.199999999999999</c:v>
                </c:pt>
                <c:pt idx="11">
                  <c:v>10.199999999999999</c:v>
                </c:pt>
                <c:pt idx="12">
                  <c:v>7.2</c:v>
                </c:pt>
                <c:pt idx="13">
                  <c:v>7.2</c:v>
                </c:pt>
                <c:pt idx="14">
                  <c:v>7.2</c:v>
                </c:pt>
                <c:pt idx="15">
                  <c:v>9.1999999999999993</c:v>
                </c:pt>
                <c:pt idx="16">
                  <c:v>9.1999999999999993</c:v>
                </c:pt>
                <c:pt idx="17">
                  <c:v>9.1999999999999993</c:v>
                </c:pt>
                <c:pt idx="18">
                  <c:v>10.199999999999999</c:v>
                </c:pt>
                <c:pt idx="19">
                  <c:v>10.199999999999999</c:v>
                </c:pt>
                <c:pt idx="20">
                  <c:v>10.199999999999999</c:v>
                </c:pt>
              </c:numCache>
            </c:numRef>
          </c:xVal>
          <c:yVal>
            <c:numRef>
              <c:f>PED!$L$2:$L$22</c:f>
              <c:numCache>
                <c:formatCode>General</c:formatCode>
                <c:ptCount val="21"/>
                <c:pt idx="0">
                  <c:v>1.4440447959180762</c:v>
                </c:pt>
                <c:pt idx="1">
                  <c:v>2.2798949800116382</c:v>
                </c:pt>
                <c:pt idx="2">
                  <c:v>1.110589710299249</c:v>
                </c:pt>
                <c:pt idx="3">
                  <c:v>2.0788191830988487</c:v>
                </c:pt>
                <c:pt idx="4">
                  <c:v>1.8524799936368563</c:v>
                </c:pt>
                <c:pt idx="5">
                  <c:v>1.3961993470957363</c:v>
                </c:pt>
                <c:pt idx="6">
                  <c:v>1.4313637641589874</c:v>
                </c:pt>
                <c:pt idx="7">
                  <c:v>1.2479732663618066</c:v>
                </c:pt>
                <c:pt idx="8">
                  <c:v>0.64345267648618742</c:v>
                </c:pt>
                <c:pt idx="9">
                  <c:v>1.1583624920952498</c:v>
                </c:pt>
                <c:pt idx="10">
                  <c:v>0.88649072517248184</c:v>
                </c:pt>
                <c:pt idx="11">
                  <c:v>0.11394335230683679</c:v>
                </c:pt>
                <c:pt idx="12">
                  <c:v>1.2013971243204515</c:v>
                </c:pt>
                <c:pt idx="13">
                  <c:v>0.93449845124356767</c:v>
                </c:pt>
                <c:pt idx="14">
                  <c:v>0.44715803134221921</c:v>
                </c:pt>
                <c:pt idx="15">
                  <c:v>0.3979400086720376</c:v>
                </c:pt>
                <c:pt idx="16">
                  <c:v>4.1392685158225077E-2</c:v>
                </c:pt>
                <c:pt idx="17">
                  <c:v>-9.6910013008056392E-2</c:v>
                </c:pt>
                <c:pt idx="18">
                  <c:v>0.11394335230683679</c:v>
                </c:pt>
                <c:pt idx="19">
                  <c:v>-0.15490195998574319</c:v>
                </c:pt>
                <c:pt idx="20">
                  <c:v>-0.52287874528033762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14-43F1-A0CF-30F18A182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570648"/>
        <c:axId val="542571632"/>
      </c:scatterChart>
      <c:valAx>
        <c:axId val="542570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2571632"/>
        <c:crosses val="autoZero"/>
        <c:crossBetween val="midCat"/>
      </c:valAx>
      <c:valAx>
        <c:axId val="54257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 D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2570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18</xdr:row>
      <xdr:rowOff>76200</xdr:rowOff>
    </xdr:from>
    <xdr:to>
      <xdr:col>9</xdr:col>
      <xdr:colOff>485776</xdr:colOff>
      <xdr:row>32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</xdr:colOff>
      <xdr:row>15</xdr:row>
      <xdr:rowOff>85725</xdr:rowOff>
    </xdr:from>
    <xdr:to>
      <xdr:col>10</xdr:col>
      <xdr:colOff>71437</xdr:colOff>
      <xdr:row>29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14</xdr:row>
      <xdr:rowOff>152400</xdr:rowOff>
    </xdr:from>
    <xdr:to>
      <xdr:col>16</xdr:col>
      <xdr:colOff>352425</xdr:colOff>
      <xdr:row>29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504824</xdr:colOff>
      <xdr:row>15</xdr:row>
      <xdr:rowOff>114300</xdr:rowOff>
    </xdr:from>
    <xdr:to>
      <xdr:col>14</xdr:col>
      <xdr:colOff>171449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233362</xdr:colOff>
      <xdr:row>11</xdr:row>
      <xdr:rowOff>152400</xdr:rowOff>
    </xdr:from>
    <xdr:to>
      <xdr:col>12</xdr:col>
      <xdr:colOff>538162</xdr:colOff>
      <xdr:row>26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12</xdr:row>
      <xdr:rowOff>57150</xdr:rowOff>
    </xdr:from>
    <xdr:to>
      <xdr:col>15</xdr:col>
      <xdr:colOff>190500</xdr:colOff>
      <xdr:row>26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22</xdr:row>
      <xdr:rowOff>28575</xdr:rowOff>
    </xdr:from>
    <xdr:to>
      <xdr:col>9</xdr:col>
      <xdr:colOff>95250</xdr:colOff>
      <xdr:row>36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O25" sqref="O25"/>
    </sheetView>
  </sheetViews>
  <sheetFormatPr baseColWidth="10" defaultColWidth="9.140625" defaultRowHeight="15" x14ac:dyDescent="0.25"/>
  <cols>
    <col min="1" max="1" width="14.140625" bestFit="1" customWidth="1"/>
    <col min="4" max="4" width="15" customWidth="1"/>
    <col min="5" max="5" width="25.85546875" bestFit="1" customWidth="1"/>
    <col min="17" max="17" width="41.140625" customWidth="1"/>
  </cols>
  <sheetData>
    <row r="1" spans="1:18" s="6" customFormat="1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5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I2">
        <f>(5+6.2)/2</f>
        <v>5.6</v>
      </c>
      <c r="J2">
        <v>24</v>
      </c>
      <c r="K2">
        <f>3*24*60/2.5</f>
        <v>1728</v>
      </c>
      <c r="M2">
        <f>LOG10(K2)</f>
        <v>3.2375437381428744</v>
      </c>
      <c r="O2" t="s">
        <v>24</v>
      </c>
      <c r="P2">
        <v>2014</v>
      </c>
      <c r="R2" t="s">
        <v>25</v>
      </c>
    </row>
    <row r="3" spans="1:18" x14ac:dyDescent="0.25">
      <c r="A3" t="s">
        <v>26</v>
      </c>
      <c r="B3" t="s">
        <v>27</v>
      </c>
      <c r="C3" t="s">
        <v>28</v>
      </c>
      <c r="D3" t="s">
        <v>21</v>
      </c>
      <c r="E3" t="s">
        <v>21</v>
      </c>
      <c r="F3" t="s">
        <v>8</v>
      </c>
      <c r="I3">
        <v>1</v>
      </c>
      <c r="J3">
        <v>22</v>
      </c>
      <c r="K3">
        <f>30/7.7</f>
        <v>3.8961038961038961</v>
      </c>
      <c r="M3">
        <f t="shared" ref="M3:M36" si="0">LOG10(K3)</f>
        <v>0.59063052954718054</v>
      </c>
      <c r="O3" t="s">
        <v>29</v>
      </c>
      <c r="P3">
        <v>2013</v>
      </c>
      <c r="R3" t="s">
        <v>30</v>
      </c>
    </row>
    <row r="4" spans="1:18" x14ac:dyDescent="0.25">
      <c r="A4" t="s">
        <v>26</v>
      </c>
      <c r="B4" t="s">
        <v>27</v>
      </c>
      <c r="C4" t="s">
        <v>28</v>
      </c>
      <c r="D4" t="s">
        <v>21</v>
      </c>
      <c r="E4" t="s">
        <v>21</v>
      </c>
      <c r="F4" t="s">
        <v>8</v>
      </c>
      <c r="I4">
        <v>2</v>
      </c>
      <c r="J4">
        <v>22</v>
      </c>
      <c r="K4">
        <f>30/7.7</f>
        <v>3.8961038961038961</v>
      </c>
      <c r="M4">
        <f t="shared" si="0"/>
        <v>0.59063052954718054</v>
      </c>
      <c r="O4" t="s">
        <v>29</v>
      </c>
      <c r="P4">
        <v>2013</v>
      </c>
      <c r="R4" t="s">
        <v>30</v>
      </c>
    </row>
    <row r="5" spans="1:18" x14ac:dyDescent="0.25">
      <c r="A5" t="s">
        <v>26</v>
      </c>
      <c r="B5" t="s">
        <v>27</v>
      </c>
      <c r="C5" t="s">
        <v>28</v>
      </c>
      <c r="D5" t="s">
        <v>21</v>
      </c>
      <c r="E5" t="s">
        <v>21</v>
      </c>
      <c r="F5" t="s">
        <v>8</v>
      </c>
      <c r="I5">
        <v>3</v>
      </c>
      <c r="J5">
        <v>22</v>
      </c>
      <c r="K5">
        <f>24*60/7.7</f>
        <v>187.012987012987</v>
      </c>
      <c r="M5">
        <f t="shared" si="0"/>
        <v>2.2718717669227679</v>
      </c>
      <c r="O5" t="s">
        <v>29</v>
      </c>
      <c r="P5">
        <v>2013</v>
      </c>
      <c r="R5" t="s">
        <v>30</v>
      </c>
    </row>
    <row r="6" spans="1:18" x14ac:dyDescent="0.25">
      <c r="A6" t="s">
        <v>26</v>
      </c>
      <c r="B6" t="s">
        <v>31</v>
      </c>
      <c r="C6" t="s">
        <v>28</v>
      </c>
      <c r="D6" t="s">
        <v>32</v>
      </c>
      <c r="E6" t="s">
        <v>33</v>
      </c>
      <c r="F6" t="s">
        <v>34</v>
      </c>
      <c r="I6">
        <v>4.5</v>
      </c>
      <c r="J6" t="s">
        <v>35</v>
      </c>
      <c r="K6">
        <f>0.13*24*60/(6.1-1)</f>
        <v>36.705882352941181</v>
      </c>
      <c r="M6">
        <f t="shared" si="0"/>
        <v>1.56473566830415</v>
      </c>
      <c r="O6" t="s">
        <v>36</v>
      </c>
      <c r="P6">
        <v>2012</v>
      </c>
      <c r="R6" t="s">
        <v>37</v>
      </c>
    </row>
    <row r="7" spans="1:18" x14ac:dyDescent="0.25">
      <c r="A7" t="s">
        <v>26</v>
      </c>
      <c r="B7" t="s">
        <v>38</v>
      </c>
      <c r="D7" t="s">
        <v>39</v>
      </c>
      <c r="E7" t="s">
        <v>40</v>
      </c>
      <c r="F7" t="s">
        <v>41</v>
      </c>
      <c r="I7">
        <v>2</v>
      </c>
      <c r="K7">
        <f>10/8</f>
        <v>1.25</v>
      </c>
      <c r="M7">
        <f t="shared" si="0"/>
        <v>9.691001300805642E-2</v>
      </c>
      <c r="O7" t="s">
        <v>42</v>
      </c>
      <c r="P7">
        <v>2009</v>
      </c>
      <c r="Q7" t="s">
        <v>43</v>
      </c>
      <c r="R7" t="s">
        <v>44</v>
      </c>
    </row>
    <row r="8" spans="1:18" x14ac:dyDescent="0.25">
      <c r="A8" t="s">
        <v>26</v>
      </c>
      <c r="B8" t="s">
        <v>45</v>
      </c>
      <c r="C8" t="s">
        <v>28</v>
      </c>
      <c r="D8" t="s">
        <v>21</v>
      </c>
      <c r="E8" t="s">
        <v>46</v>
      </c>
      <c r="F8" t="s">
        <v>8</v>
      </c>
      <c r="I8">
        <v>5.8</v>
      </c>
      <c r="J8">
        <v>17</v>
      </c>
      <c r="K8">
        <f>2.5*24*60</f>
        <v>3600</v>
      </c>
      <c r="M8">
        <f t="shared" si="0"/>
        <v>3.5563025007672873</v>
      </c>
      <c r="O8" t="s">
        <v>47</v>
      </c>
      <c r="P8">
        <v>2009</v>
      </c>
      <c r="Q8" t="s">
        <v>48</v>
      </c>
      <c r="R8" t="s">
        <v>49</v>
      </c>
    </row>
    <row r="9" spans="1:18" x14ac:dyDescent="0.25">
      <c r="A9" t="s">
        <v>26</v>
      </c>
      <c r="B9" t="s">
        <v>45</v>
      </c>
      <c r="C9" t="s">
        <v>28</v>
      </c>
      <c r="D9" t="s">
        <v>21</v>
      </c>
      <c r="E9" t="s">
        <v>46</v>
      </c>
      <c r="F9" t="s">
        <v>8</v>
      </c>
      <c r="I9">
        <v>6.2</v>
      </c>
      <c r="J9">
        <v>17</v>
      </c>
      <c r="K9">
        <f>5*24*60</f>
        <v>7200</v>
      </c>
      <c r="M9">
        <f t="shared" si="0"/>
        <v>3.8573324964312685</v>
      </c>
      <c r="O9" t="s">
        <v>47</v>
      </c>
      <c r="P9">
        <v>2009</v>
      </c>
      <c r="Q9" t="s">
        <v>48</v>
      </c>
      <c r="R9" t="s">
        <v>49</v>
      </c>
    </row>
    <row r="10" spans="1:18" x14ac:dyDescent="0.25">
      <c r="A10" t="s">
        <v>26</v>
      </c>
      <c r="B10" t="s">
        <v>45</v>
      </c>
      <c r="C10" t="s">
        <v>28</v>
      </c>
      <c r="D10" t="s">
        <v>21</v>
      </c>
      <c r="E10" t="s">
        <v>46</v>
      </c>
      <c r="F10" t="s">
        <v>8</v>
      </c>
      <c r="I10">
        <v>6.6</v>
      </c>
      <c r="J10">
        <v>17</v>
      </c>
      <c r="K10">
        <f>12*24*60</f>
        <v>17280</v>
      </c>
      <c r="M10">
        <f t="shared" si="0"/>
        <v>4.2375437381428744</v>
      </c>
      <c r="O10" t="s">
        <v>47</v>
      </c>
      <c r="P10">
        <v>2009</v>
      </c>
      <c r="Q10" t="s">
        <v>48</v>
      </c>
      <c r="R10" t="s">
        <v>49</v>
      </c>
    </row>
    <row r="11" spans="1:18" x14ac:dyDescent="0.25">
      <c r="A11" t="s">
        <v>26</v>
      </c>
      <c r="B11" t="s">
        <v>45</v>
      </c>
      <c r="C11" t="s">
        <v>28</v>
      </c>
      <c r="D11" t="s">
        <v>21</v>
      </c>
      <c r="E11" t="s">
        <v>46</v>
      </c>
      <c r="F11" t="s">
        <v>8</v>
      </c>
      <c r="I11">
        <v>7</v>
      </c>
      <c r="J11">
        <v>17</v>
      </c>
      <c r="K11">
        <f>18*24*60</f>
        <v>25920</v>
      </c>
      <c r="M11">
        <f t="shared" si="0"/>
        <v>4.4136349971985558</v>
      </c>
      <c r="O11" t="s">
        <v>47</v>
      </c>
      <c r="P11">
        <v>2009</v>
      </c>
      <c r="Q11" t="s">
        <v>48</v>
      </c>
      <c r="R11" t="s">
        <v>49</v>
      </c>
    </row>
    <row r="12" spans="1:18" x14ac:dyDescent="0.25">
      <c r="A12" t="s">
        <v>26</v>
      </c>
      <c r="B12" t="s">
        <v>45</v>
      </c>
      <c r="C12" t="s">
        <v>28</v>
      </c>
      <c r="D12" t="s">
        <v>21</v>
      </c>
      <c r="E12" t="s">
        <v>46</v>
      </c>
      <c r="F12" t="s">
        <v>8</v>
      </c>
      <c r="I12">
        <v>7.4</v>
      </c>
      <c r="J12">
        <v>17</v>
      </c>
      <c r="K12">
        <f>30*24*60</f>
        <v>43200</v>
      </c>
      <c r="M12">
        <f t="shared" si="0"/>
        <v>4.6354837468149119</v>
      </c>
      <c r="O12" t="s">
        <v>47</v>
      </c>
      <c r="P12">
        <v>2009</v>
      </c>
      <c r="Q12" t="s">
        <v>48</v>
      </c>
      <c r="R12" t="s">
        <v>49</v>
      </c>
    </row>
    <row r="13" spans="1:18" x14ac:dyDescent="0.25">
      <c r="A13" t="s">
        <v>26</v>
      </c>
      <c r="B13" t="s">
        <v>45</v>
      </c>
      <c r="C13" t="s">
        <v>28</v>
      </c>
      <c r="D13" t="s">
        <v>21</v>
      </c>
      <c r="E13" t="s">
        <v>46</v>
      </c>
      <c r="F13" t="s">
        <v>8</v>
      </c>
      <c r="I13">
        <v>7.8</v>
      </c>
      <c r="J13">
        <v>17</v>
      </c>
      <c r="K13">
        <f>26*24*60</f>
        <v>37440</v>
      </c>
      <c r="M13">
        <f t="shared" si="0"/>
        <v>4.5733358400660675</v>
      </c>
      <c r="O13" t="s">
        <v>47</v>
      </c>
      <c r="P13">
        <v>2009</v>
      </c>
      <c r="Q13" t="s">
        <v>48</v>
      </c>
      <c r="R13" t="s">
        <v>49</v>
      </c>
    </row>
    <row r="14" spans="1:18" x14ac:dyDescent="0.25">
      <c r="A14" t="s">
        <v>26</v>
      </c>
      <c r="B14" t="s">
        <v>45</v>
      </c>
      <c r="C14" t="s">
        <v>28</v>
      </c>
      <c r="D14" t="s">
        <v>21</v>
      </c>
      <c r="E14" t="s">
        <v>46</v>
      </c>
      <c r="F14" t="s">
        <v>8</v>
      </c>
      <c r="I14">
        <v>8.1999999999999993</v>
      </c>
      <c r="J14">
        <v>17</v>
      </c>
      <c r="K14">
        <f>25*24*60</f>
        <v>36000</v>
      </c>
      <c r="M14">
        <f t="shared" si="0"/>
        <v>4.5563025007672868</v>
      </c>
      <c r="O14" t="s">
        <v>47</v>
      </c>
      <c r="P14">
        <v>2009</v>
      </c>
      <c r="Q14" t="s">
        <v>48</v>
      </c>
      <c r="R14" t="s">
        <v>49</v>
      </c>
    </row>
    <row r="15" spans="1:18" x14ac:dyDescent="0.25">
      <c r="A15" t="s">
        <v>26</v>
      </c>
      <c r="B15" t="s">
        <v>45</v>
      </c>
      <c r="C15" t="s">
        <v>28</v>
      </c>
      <c r="D15" t="s">
        <v>21</v>
      </c>
      <c r="E15" t="s">
        <v>46</v>
      </c>
      <c r="F15" t="s">
        <v>8</v>
      </c>
      <c r="I15">
        <v>8.6</v>
      </c>
      <c r="J15">
        <v>17</v>
      </c>
      <c r="K15">
        <f>20*24*60</f>
        <v>28800</v>
      </c>
      <c r="M15">
        <f t="shared" si="0"/>
        <v>4.4593924877592306</v>
      </c>
      <c r="O15" t="s">
        <v>47</v>
      </c>
      <c r="P15">
        <v>2009</v>
      </c>
      <c r="Q15" t="s">
        <v>48</v>
      </c>
      <c r="R15" t="s">
        <v>49</v>
      </c>
    </row>
    <row r="16" spans="1:18" x14ac:dyDescent="0.25">
      <c r="A16" t="s">
        <v>26</v>
      </c>
      <c r="B16" t="s">
        <v>45</v>
      </c>
      <c r="C16" t="s">
        <v>28</v>
      </c>
      <c r="D16" t="s">
        <v>21</v>
      </c>
      <c r="E16" t="s">
        <v>46</v>
      </c>
      <c r="F16" t="s">
        <v>8</v>
      </c>
      <c r="I16">
        <v>5.8</v>
      </c>
      <c r="J16">
        <v>28</v>
      </c>
      <c r="K16">
        <f>1*24*60</f>
        <v>1440</v>
      </c>
      <c r="M16">
        <f t="shared" si="0"/>
        <v>3.1583624920952498</v>
      </c>
      <c r="O16" t="s">
        <v>47</v>
      </c>
      <c r="P16">
        <v>2009</v>
      </c>
      <c r="Q16" t="s">
        <v>48</v>
      </c>
      <c r="R16" t="s">
        <v>49</v>
      </c>
    </row>
    <row r="17" spans="1:18" x14ac:dyDescent="0.25">
      <c r="A17" t="s">
        <v>26</v>
      </c>
      <c r="B17" t="s">
        <v>45</v>
      </c>
      <c r="C17" t="s">
        <v>28</v>
      </c>
      <c r="D17" t="s">
        <v>21</v>
      </c>
      <c r="E17" t="s">
        <v>46</v>
      </c>
      <c r="F17" t="s">
        <v>8</v>
      </c>
      <c r="I17">
        <v>6.2</v>
      </c>
      <c r="J17">
        <v>28</v>
      </c>
      <c r="K17">
        <f>1.5*24*60</f>
        <v>2160</v>
      </c>
      <c r="M17">
        <f t="shared" si="0"/>
        <v>3.3344537511509307</v>
      </c>
      <c r="O17" t="s">
        <v>47</v>
      </c>
      <c r="P17">
        <v>2009</v>
      </c>
      <c r="Q17" t="s">
        <v>48</v>
      </c>
      <c r="R17" t="s">
        <v>49</v>
      </c>
    </row>
    <row r="18" spans="1:18" x14ac:dyDescent="0.25">
      <c r="A18" t="s">
        <v>26</v>
      </c>
      <c r="B18" t="s">
        <v>45</v>
      </c>
      <c r="C18" t="s">
        <v>28</v>
      </c>
      <c r="D18" t="s">
        <v>21</v>
      </c>
      <c r="E18" t="s">
        <v>46</v>
      </c>
      <c r="F18" t="s">
        <v>8</v>
      </c>
      <c r="I18">
        <v>6.6</v>
      </c>
      <c r="J18">
        <v>28</v>
      </c>
      <c r="K18">
        <f>3.5*24*60</f>
        <v>5040</v>
      </c>
      <c r="M18">
        <f t="shared" si="0"/>
        <v>3.7024305364455254</v>
      </c>
      <c r="O18" t="s">
        <v>47</v>
      </c>
      <c r="P18">
        <v>2009</v>
      </c>
      <c r="Q18" t="s">
        <v>48</v>
      </c>
      <c r="R18" t="s">
        <v>49</v>
      </c>
    </row>
    <row r="19" spans="1:18" x14ac:dyDescent="0.25">
      <c r="A19" t="s">
        <v>26</v>
      </c>
      <c r="B19" t="s">
        <v>45</v>
      </c>
      <c r="C19" t="s">
        <v>28</v>
      </c>
      <c r="D19" t="s">
        <v>21</v>
      </c>
      <c r="E19" t="s">
        <v>46</v>
      </c>
      <c r="F19" t="s">
        <v>8</v>
      </c>
      <c r="I19">
        <v>7</v>
      </c>
      <c r="J19">
        <v>28</v>
      </c>
      <c r="K19">
        <f>5*24*60</f>
        <v>7200</v>
      </c>
      <c r="M19">
        <f t="shared" si="0"/>
        <v>3.8573324964312685</v>
      </c>
      <c r="O19" t="s">
        <v>47</v>
      </c>
      <c r="P19">
        <v>2009</v>
      </c>
      <c r="Q19" t="s">
        <v>48</v>
      </c>
      <c r="R19" t="s">
        <v>49</v>
      </c>
    </row>
    <row r="20" spans="1:18" x14ac:dyDescent="0.25">
      <c r="A20" t="s">
        <v>26</v>
      </c>
      <c r="B20" t="s">
        <v>45</v>
      </c>
      <c r="C20" t="s">
        <v>28</v>
      </c>
      <c r="D20" t="s">
        <v>21</v>
      </c>
      <c r="E20" t="s">
        <v>46</v>
      </c>
      <c r="F20" t="s">
        <v>8</v>
      </c>
      <c r="I20">
        <v>7.4</v>
      </c>
      <c r="J20">
        <v>28</v>
      </c>
      <c r="K20">
        <f>7*24*60</f>
        <v>10080</v>
      </c>
      <c r="M20">
        <f t="shared" si="0"/>
        <v>4.0034605321095063</v>
      </c>
      <c r="O20" t="s">
        <v>47</v>
      </c>
      <c r="P20">
        <v>2009</v>
      </c>
      <c r="Q20" t="s">
        <v>48</v>
      </c>
      <c r="R20" t="s">
        <v>49</v>
      </c>
    </row>
    <row r="21" spans="1:18" x14ac:dyDescent="0.25">
      <c r="A21" t="s">
        <v>26</v>
      </c>
      <c r="B21" t="s">
        <v>45</v>
      </c>
      <c r="C21" t="s">
        <v>28</v>
      </c>
      <c r="D21" t="s">
        <v>21</v>
      </c>
      <c r="E21" t="s">
        <v>46</v>
      </c>
      <c r="F21" t="s">
        <v>8</v>
      </c>
      <c r="I21">
        <v>7.8</v>
      </c>
      <c r="J21">
        <v>28</v>
      </c>
      <c r="K21">
        <f>6.5*24*60</f>
        <v>9360</v>
      </c>
      <c r="M21">
        <f t="shared" si="0"/>
        <v>3.971275848738105</v>
      </c>
      <c r="O21" t="s">
        <v>47</v>
      </c>
      <c r="P21">
        <v>2009</v>
      </c>
      <c r="Q21" t="s">
        <v>48</v>
      </c>
      <c r="R21" t="s">
        <v>49</v>
      </c>
    </row>
    <row r="22" spans="1:18" x14ac:dyDescent="0.25">
      <c r="A22" t="s">
        <v>26</v>
      </c>
      <c r="B22" t="s">
        <v>45</v>
      </c>
      <c r="C22" t="s">
        <v>28</v>
      </c>
      <c r="D22" t="s">
        <v>21</v>
      </c>
      <c r="E22" t="s">
        <v>46</v>
      </c>
      <c r="F22" t="s">
        <v>8</v>
      </c>
      <c r="I22">
        <v>8.1999999999999993</v>
      </c>
      <c r="J22">
        <v>28</v>
      </c>
      <c r="K22">
        <f>6*24*60</f>
        <v>8640</v>
      </c>
      <c r="M22">
        <f t="shared" si="0"/>
        <v>3.9365137424788932</v>
      </c>
      <c r="O22" t="s">
        <v>47</v>
      </c>
      <c r="P22">
        <v>2009</v>
      </c>
      <c r="Q22" t="s">
        <v>48</v>
      </c>
      <c r="R22" t="s">
        <v>49</v>
      </c>
    </row>
    <row r="23" spans="1:18" x14ac:dyDescent="0.25">
      <c r="A23" t="s">
        <v>26</v>
      </c>
      <c r="B23" t="s">
        <v>45</v>
      </c>
      <c r="C23" t="s">
        <v>28</v>
      </c>
      <c r="D23" t="s">
        <v>21</v>
      </c>
      <c r="E23" t="s">
        <v>46</v>
      </c>
      <c r="F23" t="s">
        <v>8</v>
      </c>
      <c r="I23">
        <v>8.6</v>
      </c>
      <c r="J23">
        <v>28</v>
      </c>
      <c r="K23">
        <f>5.5*24*60</f>
        <v>7920</v>
      </c>
      <c r="M23">
        <f t="shared" si="0"/>
        <v>3.8987251815894934</v>
      </c>
      <c r="O23" t="s">
        <v>47</v>
      </c>
      <c r="P23">
        <v>2009</v>
      </c>
      <c r="Q23" t="s">
        <v>48</v>
      </c>
      <c r="R23" t="s">
        <v>49</v>
      </c>
    </row>
    <row r="24" spans="1:18" x14ac:dyDescent="0.25">
      <c r="A24" t="s">
        <v>26</v>
      </c>
      <c r="D24" t="s">
        <v>50</v>
      </c>
      <c r="E24" t="s">
        <v>50</v>
      </c>
      <c r="F24" t="s">
        <v>8</v>
      </c>
      <c r="I24">
        <v>2</v>
      </c>
      <c r="J24">
        <v>22</v>
      </c>
      <c r="K24">
        <f>5/5.5</f>
        <v>0.90909090909090906</v>
      </c>
      <c r="M24">
        <f t="shared" si="0"/>
        <v>-4.1392685158225057E-2</v>
      </c>
      <c r="O24" t="s">
        <v>51</v>
      </c>
      <c r="P24">
        <v>2003</v>
      </c>
      <c r="Q24" t="s">
        <v>52</v>
      </c>
      <c r="R24" t="s">
        <v>53</v>
      </c>
    </row>
    <row r="25" spans="1:18" x14ac:dyDescent="0.25">
      <c r="A25" t="s">
        <v>26</v>
      </c>
      <c r="B25" t="s">
        <v>54</v>
      </c>
      <c r="D25" t="s">
        <v>21</v>
      </c>
      <c r="E25" t="s">
        <v>46</v>
      </c>
      <c r="F25" t="s">
        <v>8</v>
      </c>
      <c r="I25">
        <v>6.2</v>
      </c>
      <c r="J25">
        <v>28</v>
      </c>
      <c r="K25">
        <f>1/0.23*24*60</f>
        <v>6260.869565217391</v>
      </c>
      <c r="M25">
        <f t="shared" si="0"/>
        <v>3.7966346560776567</v>
      </c>
      <c r="O25" t="s">
        <v>55</v>
      </c>
      <c r="P25">
        <v>1990</v>
      </c>
      <c r="Q25" t="s">
        <v>56</v>
      </c>
      <c r="R25" t="s">
        <v>57</v>
      </c>
    </row>
    <row r="26" spans="1:18" x14ac:dyDescent="0.25">
      <c r="A26" t="s">
        <v>26</v>
      </c>
      <c r="B26" t="s">
        <v>54</v>
      </c>
      <c r="D26" t="s">
        <v>21</v>
      </c>
      <c r="E26" t="s">
        <v>46</v>
      </c>
      <c r="F26" t="s">
        <v>8</v>
      </c>
      <c r="I26">
        <v>7.2</v>
      </c>
      <c r="J26">
        <v>28</v>
      </c>
      <c r="K26">
        <f>1/0.29*24*60</f>
        <v>4965.5172413793107</v>
      </c>
      <c r="M26">
        <f t="shared" si="0"/>
        <v>3.6959644941962937</v>
      </c>
      <c r="O26" t="s">
        <v>55</v>
      </c>
      <c r="P26">
        <v>1990</v>
      </c>
      <c r="Q26" t="s">
        <v>56</v>
      </c>
      <c r="R26" t="s">
        <v>57</v>
      </c>
    </row>
    <row r="27" spans="1:18" x14ac:dyDescent="0.25">
      <c r="A27" t="s">
        <v>26</v>
      </c>
      <c r="B27" t="s">
        <v>54</v>
      </c>
      <c r="D27" t="s">
        <v>21</v>
      </c>
      <c r="E27" t="s">
        <v>46</v>
      </c>
      <c r="F27" t="s">
        <v>8</v>
      </c>
      <c r="I27">
        <v>8.1999999999999993</v>
      </c>
      <c r="J27">
        <v>28</v>
      </c>
      <c r="K27">
        <f>1/0.67*24*60</f>
        <v>2149.2537313432836</v>
      </c>
      <c r="M27">
        <f t="shared" si="0"/>
        <v>3.3322876893944233</v>
      </c>
      <c r="O27" t="s">
        <v>55</v>
      </c>
      <c r="P27">
        <v>1990</v>
      </c>
      <c r="Q27" t="s">
        <v>56</v>
      </c>
      <c r="R27" t="s">
        <v>57</v>
      </c>
    </row>
    <row r="28" spans="1:18" x14ac:dyDescent="0.25">
      <c r="A28" t="s">
        <v>26</v>
      </c>
      <c r="B28" t="s">
        <v>54</v>
      </c>
      <c r="D28" t="s">
        <v>21</v>
      </c>
      <c r="E28" t="s">
        <v>46</v>
      </c>
      <c r="F28" t="s">
        <v>8</v>
      </c>
      <c r="I28">
        <v>6.2</v>
      </c>
      <c r="J28">
        <v>28</v>
      </c>
      <c r="K28">
        <f>1/0.5*24*60</f>
        <v>2880</v>
      </c>
      <c r="M28">
        <f t="shared" si="0"/>
        <v>3.459392487759231</v>
      </c>
      <c r="O28" t="s">
        <v>55</v>
      </c>
      <c r="P28">
        <v>1990</v>
      </c>
      <c r="Q28" t="s">
        <v>56</v>
      </c>
      <c r="R28" t="s">
        <v>58</v>
      </c>
    </row>
    <row r="29" spans="1:18" x14ac:dyDescent="0.25">
      <c r="A29" t="s">
        <v>26</v>
      </c>
      <c r="B29" t="s">
        <v>54</v>
      </c>
      <c r="D29" t="s">
        <v>21</v>
      </c>
      <c r="E29" t="s">
        <v>46</v>
      </c>
      <c r="F29" t="s">
        <v>8</v>
      </c>
      <c r="I29">
        <v>7.2</v>
      </c>
      <c r="J29">
        <v>28</v>
      </c>
      <c r="K29">
        <f>1/0.13*24*60</f>
        <v>11076.923076923074</v>
      </c>
      <c r="M29">
        <f t="shared" si="0"/>
        <v>4.0444191397884124</v>
      </c>
      <c r="O29" t="s">
        <v>55</v>
      </c>
      <c r="P29">
        <v>1990</v>
      </c>
      <c r="Q29" t="s">
        <v>56</v>
      </c>
      <c r="R29" t="s">
        <v>58</v>
      </c>
    </row>
    <row r="30" spans="1:18" x14ac:dyDescent="0.25">
      <c r="A30" t="s">
        <v>26</v>
      </c>
      <c r="B30" t="s">
        <v>54</v>
      </c>
      <c r="D30" t="s">
        <v>21</v>
      </c>
      <c r="E30" t="s">
        <v>46</v>
      </c>
      <c r="F30" t="s">
        <v>8</v>
      </c>
      <c r="I30">
        <v>8.1999999999999993</v>
      </c>
      <c r="J30">
        <v>28</v>
      </c>
      <c r="K30">
        <f>1/0.12*24*60</f>
        <v>12000</v>
      </c>
      <c r="M30">
        <f t="shared" si="0"/>
        <v>4.0791812460476251</v>
      </c>
      <c r="O30" t="s">
        <v>55</v>
      </c>
      <c r="P30">
        <v>1990</v>
      </c>
      <c r="Q30" t="s">
        <v>56</v>
      </c>
      <c r="R30" t="s">
        <v>58</v>
      </c>
    </row>
    <row r="31" spans="1:18" x14ac:dyDescent="0.25">
      <c r="A31" t="s">
        <v>26</v>
      </c>
      <c r="B31" t="s">
        <v>54</v>
      </c>
      <c r="D31" t="s">
        <v>21</v>
      </c>
      <c r="E31" t="s">
        <v>46</v>
      </c>
      <c r="F31" t="s">
        <v>8</v>
      </c>
      <c r="I31">
        <v>6.2</v>
      </c>
      <c r="J31">
        <v>17</v>
      </c>
      <c r="K31">
        <f>1/0.08*24*60</f>
        <v>18000</v>
      </c>
      <c r="M31">
        <f t="shared" si="0"/>
        <v>4.2552725051033065</v>
      </c>
      <c r="O31" t="s">
        <v>55</v>
      </c>
      <c r="P31">
        <v>1990</v>
      </c>
      <c r="Q31" t="s">
        <v>56</v>
      </c>
      <c r="R31" t="s">
        <v>57</v>
      </c>
    </row>
    <row r="32" spans="1:18" x14ac:dyDescent="0.25">
      <c r="A32" t="s">
        <v>26</v>
      </c>
      <c r="B32" t="s">
        <v>54</v>
      </c>
      <c r="D32" t="s">
        <v>21</v>
      </c>
      <c r="E32" t="s">
        <v>46</v>
      </c>
      <c r="F32" t="s">
        <v>8</v>
      </c>
      <c r="I32">
        <v>7.2</v>
      </c>
      <c r="J32">
        <v>17</v>
      </c>
      <c r="K32">
        <f>1/0.11*24*60</f>
        <v>13090.909090909092</v>
      </c>
      <c r="M32">
        <f t="shared" si="0"/>
        <v>4.1169698069370249</v>
      </c>
      <c r="O32" t="s">
        <v>55</v>
      </c>
      <c r="P32">
        <v>1990</v>
      </c>
      <c r="Q32" t="s">
        <v>56</v>
      </c>
      <c r="R32" t="s">
        <v>57</v>
      </c>
    </row>
    <row r="33" spans="1:18" x14ac:dyDescent="0.25">
      <c r="A33" t="s">
        <v>26</v>
      </c>
      <c r="B33" t="s">
        <v>54</v>
      </c>
      <c r="D33" t="s">
        <v>21</v>
      </c>
      <c r="E33" t="s">
        <v>46</v>
      </c>
      <c r="F33" t="s">
        <v>8</v>
      </c>
      <c r="I33">
        <v>8.1999999999999993</v>
      </c>
      <c r="J33">
        <v>17</v>
      </c>
      <c r="K33">
        <f>1/0.19*24*60</f>
        <v>7578.9473684210534</v>
      </c>
      <c r="M33">
        <f t="shared" si="0"/>
        <v>3.8796088911424209</v>
      </c>
      <c r="O33" t="s">
        <v>55</v>
      </c>
      <c r="P33">
        <v>1990</v>
      </c>
      <c r="Q33" t="s">
        <v>56</v>
      </c>
      <c r="R33" t="s">
        <v>57</v>
      </c>
    </row>
    <row r="34" spans="1:18" x14ac:dyDescent="0.25">
      <c r="A34" t="s">
        <v>26</v>
      </c>
      <c r="B34" t="s">
        <v>54</v>
      </c>
      <c r="D34" t="s">
        <v>21</v>
      </c>
      <c r="E34" t="s">
        <v>46</v>
      </c>
      <c r="F34" t="s">
        <v>8</v>
      </c>
      <c r="I34">
        <v>6.2</v>
      </c>
      <c r="J34">
        <v>17</v>
      </c>
      <c r="K34">
        <f>1/0.26*24*60</f>
        <v>5538.4615384615372</v>
      </c>
      <c r="M34">
        <f t="shared" si="0"/>
        <v>3.7433891441244316</v>
      </c>
      <c r="O34" t="s">
        <v>55</v>
      </c>
      <c r="P34">
        <v>1990</v>
      </c>
      <c r="Q34" t="s">
        <v>56</v>
      </c>
      <c r="R34" t="s">
        <v>58</v>
      </c>
    </row>
    <row r="35" spans="1:18" x14ac:dyDescent="0.25">
      <c r="A35" t="s">
        <v>26</v>
      </c>
      <c r="B35" t="s">
        <v>54</v>
      </c>
      <c r="D35" t="s">
        <v>21</v>
      </c>
      <c r="E35" t="s">
        <v>46</v>
      </c>
      <c r="F35" t="s">
        <v>8</v>
      </c>
      <c r="I35">
        <v>7.2</v>
      </c>
      <c r="J35">
        <v>17</v>
      </c>
      <c r="K35">
        <f>1/0.11*24*60</f>
        <v>13090.909090909092</v>
      </c>
      <c r="M35">
        <f t="shared" si="0"/>
        <v>4.1169698069370249</v>
      </c>
      <c r="O35" t="s">
        <v>55</v>
      </c>
      <c r="P35">
        <v>1990</v>
      </c>
      <c r="Q35" t="s">
        <v>56</v>
      </c>
      <c r="R35" t="s">
        <v>58</v>
      </c>
    </row>
    <row r="36" spans="1:18" x14ac:dyDescent="0.25">
      <c r="A36" t="s">
        <v>26</v>
      </c>
      <c r="B36" t="s">
        <v>54</v>
      </c>
      <c r="D36" t="s">
        <v>21</v>
      </c>
      <c r="E36" t="s">
        <v>46</v>
      </c>
      <c r="F36" t="s">
        <v>8</v>
      </c>
      <c r="I36">
        <v>8.1999999999999993</v>
      </c>
      <c r="J36">
        <v>17</v>
      </c>
      <c r="K36">
        <f>1/0.06*24*60</f>
        <v>24000</v>
      </c>
      <c r="M36">
        <f t="shared" si="0"/>
        <v>4.3802112417116064</v>
      </c>
      <c r="O36" t="s">
        <v>55</v>
      </c>
      <c r="P36">
        <v>1990</v>
      </c>
      <c r="Q36" t="s">
        <v>56</v>
      </c>
      <c r="R36" t="s">
        <v>58</v>
      </c>
    </row>
    <row r="37" spans="1:18" x14ac:dyDescent="0.25">
      <c r="O37" t="s">
        <v>59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workbookViewId="0">
      <selection activeCell="Q14" sqref="Q14"/>
    </sheetView>
  </sheetViews>
  <sheetFormatPr baseColWidth="10" defaultColWidth="9.140625" defaultRowHeight="15" x14ac:dyDescent="0.25"/>
  <sheetData>
    <row r="1" spans="1:20" s="6" customFormat="1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60</v>
      </c>
      <c r="L1" s="2" t="s">
        <v>61</v>
      </c>
      <c r="M1" s="3" t="s">
        <v>62</v>
      </c>
      <c r="N1" s="2" t="s">
        <v>11</v>
      </c>
      <c r="O1" s="4" t="s">
        <v>12</v>
      </c>
      <c r="P1" s="5" t="s">
        <v>13</v>
      </c>
      <c r="Q1" s="1" t="s">
        <v>14</v>
      </c>
      <c r="R1" s="1" t="s">
        <v>15</v>
      </c>
      <c r="S1" s="1" t="s">
        <v>16</v>
      </c>
      <c r="T1" s="1" t="s">
        <v>17</v>
      </c>
    </row>
    <row r="2" spans="1:20" x14ac:dyDescent="0.25">
      <c r="I2">
        <v>5</v>
      </c>
      <c r="J2">
        <v>37</v>
      </c>
      <c r="K2">
        <v>0.65</v>
      </c>
      <c r="L2">
        <f>K2*60</f>
        <v>39</v>
      </c>
      <c r="M2">
        <f>L2*3.3</f>
        <v>128.69999999999999</v>
      </c>
      <c r="O2">
        <f>LOG10(M2)</f>
        <v>2.1095785469043866</v>
      </c>
      <c r="Q2" t="s">
        <v>63</v>
      </c>
      <c r="R2">
        <v>1994</v>
      </c>
      <c r="S2" t="s">
        <v>64</v>
      </c>
    </row>
    <row r="3" spans="1:20" x14ac:dyDescent="0.25">
      <c r="I3">
        <v>5.25</v>
      </c>
      <c r="J3">
        <v>37</v>
      </c>
      <c r="K3">
        <v>0.57999999999999996</v>
      </c>
      <c r="L3">
        <f t="shared" ref="L3:L14" si="0">K3*60</f>
        <v>34.799999999999997</v>
      </c>
      <c r="M3">
        <f t="shared" ref="M3:M14" si="1">L3*3.3</f>
        <v>114.83999999999999</v>
      </c>
      <c r="O3">
        <f t="shared" ref="O3:O14" si="2">LOG10(M3)</f>
        <v>2.0600931838244683</v>
      </c>
      <c r="Q3" t="s">
        <v>63</v>
      </c>
      <c r="R3">
        <v>1994</v>
      </c>
      <c r="S3" t="s">
        <v>64</v>
      </c>
    </row>
    <row r="4" spans="1:20" x14ac:dyDescent="0.25">
      <c r="I4">
        <v>5.5</v>
      </c>
      <c r="J4">
        <v>37</v>
      </c>
      <c r="K4">
        <v>3.09</v>
      </c>
      <c r="L4">
        <f t="shared" si="0"/>
        <v>185.39999999999998</v>
      </c>
      <c r="M4">
        <f t="shared" si="1"/>
        <v>611.81999999999994</v>
      </c>
      <c r="O4">
        <f t="shared" si="2"/>
        <v>2.7866236696863655</v>
      </c>
      <c r="Q4" t="s">
        <v>63</v>
      </c>
      <c r="R4">
        <v>1994</v>
      </c>
      <c r="S4" t="s">
        <v>64</v>
      </c>
    </row>
    <row r="5" spans="1:20" x14ac:dyDescent="0.25">
      <c r="I5">
        <v>5.75</v>
      </c>
      <c r="J5">
        <v>37</v>
      </c>
      <c r="K5">
        <v>5.66</v>
      </c>
      <c r="L5">
        <f t="shared" si="0"/>
        <v>339.6</v>
      </c>
      <c r="M5">
        <f t="shared" si="1"/>
        <v>1120.68</v>
      </c>
      <c r="O5">
        <f t="shared" si="2"/>
        <v>3.0494816214498024</v>
      </c>
      <c r="Q5" t="s">
        <v>63</v>
      </c>
      <c r="R5">
        <v>1994</v>
      </c>
      <c r="S5" t="s">
        <v>64</v>
      </c>
    </row>
    <row r="6" spans="1:20" x14ac:dyDescent="0.25">
      <c r="I6">
        <v>6</v>
      </c>
      <c r="J6">
        <v>37</v>
      </c>
      <c r="K6">
        <v>6.52</v>
      </c>
      <c r="L6">
        <f t="shared" si="0"/>
        <v>391.2</v>
      </c>
      <c r="M6">
        <f t="shared" si="1"/>
        <v>1290.9599999999998</v>
      </c>
      <c r="O6">
        <f t="shared" si="2"/>
        <v>3.1109127859934511</v>
      </c>
      <c r="Q6" t="s">
        <v>63</v>
      </c>
      <c r="R6">
        <v>1994</v>
      </c>
      <c r="S6" t="s">
        <v>64</v>
      </c>
    </row>
    <row r="7" spans="1:20" x14ac:dyDescent="0.25">
      <c r="I7">
        <v>6.25</v>
      </c>
      <c r="J7">
        <v>37</v>
      </c>
      <c r="K7">
        <v>4.1100000000000003</v>
      </c>
      <c r="L7">
        <f t="shared" si="0"/>
        <v>246.60000000000002</v>
      </c>
      <c r="M7">
        <f t="shared" si="1"/>
        <v>813.78000000000009</v>
      </c>
      <c r="O7">
        <f t="shared" si="2"/>
        <v>2.9105070121376002</v>
      </c>
      <c r="Q7" t="s">
        <v>63</v>
      </c>
      <c r="R7">
        <v>1994</v>
      </c>
      <c r="S7" t="s">
        <v>64</v>
      </c>
    </row>
    <row r="8" spans="1:20" x14ac:dyDescent="0.25">
      <c r="I8">
        <v>6.5</v>
      </c>
      <c r="J8">
        <v>37</v>
      </c>
      <c r="K8">
        <v>2.91</v>
      </c>
      <c r="L8">
        <f t="shared" si="0"/>
        <v>174.60000000000002</v>
      </c>
      <c r="M8">
        <f t="shared" si="1"/>
        <v>576.18000000000006</v>
      </c>
      <c r="O8">
        <f t="shared" si="2"/>
        <v>2.7605581792474383</v>
      </c>
      <c r="Q8" t="s">
        <v>63</v>
      </c>
      <c r="R8">
        <v>1994</v>
      </c>
      <c r="S8" t="s">
        <v>64</v>
      </c>
    </row>
    <row r="9" spans="1:20" x14ac:dyDescent="0.25">
      <c r="I9">
        <v>7</v>
      </c>
      <c r="J9">
        <v>37</v>
      </c>
      <c r="K9">
        <v>2.44</v>
      </c>
      <c r="L9">
        <f t="shared" si="0"/>
        <v>146.4</v>
      </c>
      <c r="M9">
        <f t="shared" si="1"/>
        <v>483.12</v>
      </c>
      <c r="O9">
        <f t="shared" si="2"/>
        <v>2.6840550166002606</v>
      </c>
      <c r="Q9" t="s">
        <v>63</v>
      </c>
      <c r="R9">
        <v>1994</v>
      </c>
      <c r="S9" t="s">
        <v>64</v>
      </c>
    </row>
    <row r="10" spans="1:20" x14ac:dyDescent="0.25">
      <c r="I10">
        <v>7.5</v>
      </c>
      <c r="J10">
        <v>37</v>
      </c>
      <c r="K10">
        <v>1.38</v>
      </c>
      <c r="L10">
        <f t="shared" si="0"/>
        <v>82.8</v>
      </c>
      <c r="M10">
        <f t="shared" si="1"/>
        <v>273.23999999999995</v>
      </c>
      <c r="O10">
        <f t="shared" si="2"/>
        <v>2.4365442766627674</v>
      </c>
      <c r="Q10" t="s">
        <v>63</v>
      </c>
      <c r="R10">
        <v>1994</v>
      </c>
      <c r="S10" t="s">
        <v>64</v>
      </c>
    </row>
    <row r="11" spans="1:20" x14ac:dyDescent="0.25">
      <c r="I11">
        <v>7.75</v>
      </c>
      <c r="J11">
        <v>37</v>
      </c>
      <c r="K11">
        <v>1.38</v>
      </c>
      <c r="L11">
        <f t="shared" si="0"/>
        <v>82.8</v>
      </c>
      <c r="M11">
        <f t="shared" si="1"/>
        <v>273.23999999999995</v>
      </c>
      <c r="O11">
        <f t="shared" si="2"/>
        <v>2.4365442766627674</v>
      </c>
      <c r="Q11" t="s">
        <v>63</v>
      </c>
      <c r="R11">
        <v>1994</v>
      </c>
      <c r="S11" t="s">
        <v>64</v>
      </c>
    </row>
    <row r="12" spans="1:20" x14ac:dyDescent="0.25">
      <c r="I12">
        <v>8</v>
      </c>
      <c r="J12">
        <v>37</v>
      </c>
      <c r="K12">
        <v>1.43</v>
      </c>
      <c r="L12">
        <f t="shared" si="0"/>
        <v>85.8</v>
      </c>
      <c r="M12">
        <f t="shared" si="1"/>
        <v>283.14</v>
      </c>
      <c r="O12">
        <f t="shared" si="2"/>
        <v>2.4520012277265928</v>
      </c>
      <c r="Q12" t="s">
        <v>63</v>
      </c>
      <c r="R12">
        <v>1994</v>
      </c>
      <c r="S12" t="s">
        <v>64</v>
      </c>
    </row>
    <row r="13" spans="1:20" x14ac:dyDescent="0.25">
      <c r="I13">
        <v>8.25</v>
      </c>
      <c r="J13">
        <v>37</v>
      </c>
      <c r="K13">
        <v>1.33</v>
      </c>
      <c r="L13">
        <f t="shared" si="0"/>
        <v>79.800000000000011</v>
      </c>
      <c r="M13">
        <f t="shared" si="1"/>
        <v>263.34000000000003</v>
      </c>
      <c r="O13">
        <f t="shared" si="2"/>
        <v>2.4205168312286172</v>
      </c>
      <c r="Q13" t="s">
        <v>63</v>
      </c>
      <c r="R13">
        <v>1994</v>
      </c>
      <c r="S13" t="s">
        <v>64</v>
      </c>
    </row>
    <row r="14" spans="1:20" x14ac:dyDescent="0.25">
      <c r="I14">
        <v>8.5</v>
      </c>
      <c r="J14">
        <v>37</v>
      </c>
      <c r="K14">
        <v>1.28</v>
      </c>
      <c r="L14">
        <f t="shared" si="0"/>
        <v>76.8</v>
      </c>
      <c r="M14">
        <f t="shared" si="1"/>
        <v>253.43999999999997</v>
      </c>
      <c r="O14">
        <f t="shared" si="2"/>
        <v>2.4038751599093993</v>
      </c>
      <c r="Q14" t="s">
        <v>63</v>
      </c>
      <c r="R14">
        <v>1994</v>
      </c>
      <c r="S14" t="s">
        <v>64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>
      <selection activeCell="Q4" sqref="Q4"/>
    </sheetView>
  </sheetViews>
  <sheetFormatPr baseColWidth="10" defaultColWidth="9.140625" defaultRowHeight="15" x14ac:dyDescent="0.25"/>
  <cols>
    <col min="1" max="1" width="21.7109375" bestFit="1" customWidth="1"/>
  </cols>
  <sheetData>
    <row r="1" spans="1:18" s="6" customFormat="1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5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65</v>
      </c>
      <c r="B2" t="s">
        <v>66</v>
      </c>
      <c r="D2" t="s">
        <v>67</v>
      </c>
      <c r="E2" t="s">
        <v>67</v>
      </c>
      <c r="I2">
        <v>5</v>
      </c>
      <c r="J2">
        <v>18</v>
      </c>
      <c r="K2">
        <f>4*60/0.5</f>
        <v>480</v>
      </c>
      <c r="M2">
        <f>LOG10(K2)</f>
        <v>2.6812412373755872</v>
      </c>
      <c r="O2" t="s">
        <v>68</v>
      </c>
      <c r="P2">
        <v>1967</v>
      </c>
      <c r="Q2" t="s">
        <v>69</v>
      </c>
      <c r="R2" t="s">
        <v>70</v>
      </c>
    </row>
    <row r="3" spans="1:18" x14ac:dyDescent="0.25">
      <c r="A3" t="s">
        <v>65</v>
      </c>
      <c r="B3" t="s">
        <v>66</v>
      </c>
      <c r="D3" t="s">
        <v>67</v>
      </c>
      <c r="E3" t="s">
        <v>67</v>
      </c>
      <c r="I3">
        <v>3.9</v>
      </c>
      <c r="J3">
        <v>18</v>
      </c>
      <c r="K3">
        <f>4*60/(7.5-6.2)</f>
        <v>184.61538461538464</v>
      </c>
      <c r="M3">
        <f t="shared" ref="M3:M11" si="0">LOG10(K3)</f>
        <v>2.2662678894047694</v>
      </c>
      <c r="O3" t="s">
        <v>68</v>
      </c>
      <c r="P3">
        <v>1967</v>
      </c>
      <c r="Q3" t="s">
        <v>69</v>
      </c>
      <c r="R3" t="s">
        <v>70</v>
      </c>
    </row>
    <row r="4" spans="1:18" x14ac:dyDescent="0.25">
      <c r="A4" t="s">
        <v>65</v>
      </c>
      <c r="B4" t="s">
        <v>66</v>
      </c>
      <c r="D4" t="s">
        <v>67</v>
      </c>
      <c r="E4" t="s">
        <v>67</v>
      </c>
      <c r="I4">
        <v>3.4</v>
      </c>
      <c r="J4">
        <v>18</v>
      </c>
      <c r="K4">
        <f>4*60/(7.5-3)</f>
        <v>53.333333333333336</v>
      </c>
      <c r="M4">
        <f t="shared" si="0"/>
        <v>1.7269987279362624</v>
      </c>
      <c r="O4" t="s">
        <v>68</v>
      </c>
      <c r="P4">
        <v>1967</v>
      </c>
      <c r="Q4" t="s">
        <v>69</v>
      </c>
      <c r="R4" t="s">
        <v>70</v>
      </c>
    </row>
    <row r="5" spans="1:18" x14ac:dyDescent="0.25">
      <c r="A5" t="s">
        <v>65</v>
      </c>
      <c r="B5" t="s">
        <v>66</v>
      </c>
      <c r="D5" t="s">
        <v>67</v>
      </c>
      <c r="E5" t="s">
        <v>67</v>
      </c>
      <c r="I5">
        <v>3.1</v>
      </c>
      <c r="J5">
        <v>18</v>
      </c>
      <c r="K5">
        <f>4*60/(7.5-2)</f>
        <v>43.636363636363633</v>
      </c>
      <c r="M5">
        <f t="shared" si="0"/>
        <v>1.6398485522173623</v>
      </c>
      <c r="O5" t="s">
        <v>68</v>
      </c>
      <c r="P5">
        <v>1967</v>
      </c>
      <c r="Q5" t="s">
        <v>69</v>
      </c>
      <c r="R5" t="s">
        <v>70</v>
      </c>
    </row>
    <row r="6" spans="1:18" x14ac:dyDescent="0.25">
      <c r="A6" t="s">
        <v>65</v>
      </c>
      <c r="B6" t="s">
        <v>71</v>
      </c>
      <c r="D6" t="s">
        <v>67</v>
      </c>
      <c r="E6" t="s">
        <v>67</v>
      </c>
      <c r="I6">
        <v>4.8</v>
      </c>
      <c r="J6">
        <v>18</v>
      </c>
      <c r="K6">
        <f>21*60/1</f>
        <v>1260</v>
      </c>
      <c r="M6">
        <f t="shared" si="0"/>
        <v>3.1003705451175629</v>
      </c>
      <c r="O6" t="s">
        <v>68</v>
      </c>
      <c r="P6">
        <v>1967</v>
      </c>
      <c r="Q6" t="s">
        <v>69</v>
      </c>
      <c r="R6" t="s">
        <v>72</v>
      </c>
    </row>
    <row r="7" spans="1:18" x14ac:dyDescent="0.25">
      <c r="A7" t="s">
        <v>65</v>
      </c>
      <c r="B7" t="s">
        <v>71</v>
      </c>
      <c r="D7" t="s">
        <v>67</v>
      </c>
      <c r="E7" t="s">
        <v>67</v>
      </c>
      <c r="I7">
        <v>3.9</v>
      </c>
      <c r="J7">
        <v>18</v>
      </c>
      <c r="K7">
        <f>21*60/2</f>
        <v>630</v>
      </c>
      <c r="M7">
        <f t="shared" si="0"/>
        <v>2.7993405494535817</v>
      </c>
      <c r="O7" t="s">
        <v>68</v>
      </c>
      <c r="P7">
        <v>1967</v>
      </c>
      <c r="Q7" t="s">
        <v>69</v>
      </c>
      <c r="R7" t="s">
        <v>72</v>
      </c>
    </row>
    <row r="8" spans="1:18" x14ac:dyDescent="0.25">
      <c r="A8" t="s">
        <v>65</v>
      </c>
      <c r="B8" t="s">
        <v>71</v>
      </c>
      <c r="D8" t="s">
        <v>67</v>
      </c>
      <c r="E8" t="s">
        <v>67</v>
      </c>
      <c r="I8">
        <v>3.4</v>
      </c>
      <c r="J8">
        <v>18</v>
      </c>
      <c r="K8">
        <f>4*60/5</f>
        <v>48</v>
      </c>
      <c r="M8">
        <f t="shared" si="0"/>
        <v>1.6812412373755872</v>
      </c>
      <c r="O8" t="s">
        <v>68</v>
      </c>
      <c r="P8">
        <v>1967</v>
      </c>
      <c r="Q8" t="s">
        <v>69</v>
      </c>
      <c r="R8" t="s">
        <v>73</v>
      </c>
    </row>
    <row r="9" spans="1:18" x14ac:dyDescent="0.25">
      <c r="A9" t="s">
        <v>65</v>
      </c>
      <c r="B9" t="s">
        <v>71</v>
      </c>
      <c r="D9" t="s">
        <v>67</v>
      </c>
      <c r="E9" t="s">
        <v>67</v>
      </c>
      <c r="I9">
        <v>3.1</v>
      </c>
      <c r="J9">
        <v>18</v>
      </c>
      <c r="K9">
        <f>4*60/5.3</f>
        <v>45.283018867924532</v>
      </c>
      <c r="M9">
        <f t="shared" si="0"/>
        <v>1.655935372110817</v>
      </c>
      <c r="O9" t="s">
        <v>68</v>
      </c>
      <c r="P9">
        <v>1967</v>
      </c>
      <c r="Q9" t="s">
        <v>69</v>
      </c>
      <c r="R9" t="s">
        <v>73</v>
      </c>
    </row>
    <row r="10" spans="1:18" x14ac:dyDescent="0.25">
      <c r="A10" t="s">
        <v>65</v>
      </c>
      <c r="B10" t="s">
        <v>71</v>
      </c>
      <c r="D10" t="s">
        <v>67</v>
      </c>
      <c r="E10" t="s">
        <v>67</v>
      </c>
      <c r="I10">
        <v>2.7</v>
      </c>
      <c r="J10">
        <v>18</v>
      </c>
      <c r="K10">
        <f>4*60/7</f>
        <v>34.285714285714285</v>
      </c>
      <c r="M10">
        <f t="shared" si="0"/>
        <v>1.5351132016973492</v>
      </c>
      <c r="O10" t="s">
        <v>68</v>
      </c>
      <c r="P10">
        <v>1967</v>
      </c>
      <c r="Q10" t="s">
        <v>69</v>
      </c>
      <c r="R10" t="s">
        <v>73</v>
      </c>
    </row>
    <row r="11" spans="1:18" x14ac:dyDescent="0.25">
      <c r="A11" t="s">
        <v>65</v>
      </c>
      <c r="B11" t="s">
        <v>71</v>
      </c>
      <c r="D11" t="s">
        <v>67</v>
      </c>
      <c r="E11" t="s">
        <v>67</v>
      </c>
      <c r="I11">
        <v>1.9</v>
      </c>
      <c r="J11">
        <v>18</v>
      </c>
      <c r="K11">
        <f>2*60/7</f>
        <v>17.142857142857142</v>
      </c>
      <c r="M11">
        <f t="shared" si="0"/>
        <v>1.234083206033368</v>
      </c>
      <c r="O11" t="s">
        <v>68</v>
      </c>
      <c r="P11">
        <v>1967</v>
      </c>
      <c r="Q11" t="s">
        <v>69</v>
      </c>
      <c r="R11" t="s">
        <v>74</v>
      </c>
    </row>
    <row r="12" spans="1:18" x14ac:dyDescent="0.25">
      <c r="O12" t="s">
        <v>75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pane ySplit="1" topLeftCell="A2" activePane="bottomLeft" state="frozen"/>
      <selection pane="bottomLeft" activeCell="O22" sqref="O22"/>
    </sheetView>
  </sheetViews>
  <sheetFormatPr baseColWidth="10" defaultColWidth="9.140625" defaultRowHeight="15" x14ac:dyDescent="0.25"/>
  <cols>
    <col min="2" max="2" width="17.42578125" bestFit="1" customWidth="1"/>
    <col min="17" max="17" width="22" customWidth="1"/>
    <col min="18" max="18" width="61.7109375" bestFit="1" customWidth="1"/>
  </cols>
  <sheetData>
    <row r="1" spans="1:18" s="6" customFormat="1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5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76</v>
      </c>
      <c r="B2" t="s">
        <v>77</v>
      </c>
      <c r="D2" t="s">
        <v>67</v>
      </c>
      <c r="E2" t="s">
        <v>67</v>
      </c>
      <c r="F2" t="s">
        <v>78</v>
      </c>
      <c r="I2">
        <v>5</v>
      </c>
      <c r="K2">
        <f>5/4</f>
        <v>1.25</v>
      </c>
      <c r="M2">
        <f t="shared" ref="M2:M15" si="0">LOG10(K2)</f>
        <v>9.691001300805642E-2</v>
      </c>
      <c r="O2" t="s">
        <v>79</v>
      </c>
      <c r="P2">
        <v>1959</v>
      </c>
      <c r="Q2" t="s">
        <v>80</v>
      </c>
    </row>
    <row r="3" spans="1:18" x14ac:dyDescent="0.25">
      <c r="A3" t="s">
        <v>76</v>
      </c>
      <c r="B3" t="s">
        <v>77</v>
      </c>
      <c r="D3" t="s">
        <v>67</v>
      </c>
      <c r="E3" t="s">
        <v>67</v>
      </c>
      <c r="I3">
        <v>6.5</v>
      </c>
      <c r="J3" t="s">
        <v>81</v>
      </c>
      <c r="K3">
        <f>14*60</f>
        <v>840</v>
      </c>
      <c r="M3">
        <f t="shared" si="0"/>
        <v>2.9242792860618816</v>
      </c>
      <c r="O3" t="s">
        <v>79</v>
      </c>
      <c r="P3">
        <v>1957</v>
      </c>
      <c r="Q3" t="s">
        <v>82</v>
      </c>
      <c r="R3" t="s">
        <v>83</v>
      </c>
    </row>
    <row r="4" spans="1:18" x14ac:dyDescent="0.25">
      <c r="A4" t="s">
        <v>76</v>
      </c>
      <c r="B4" t="s">
        <v>77</v>
      </c>
      <c r="D4" t="s">
        <v>67</v>
      </c>
      <c r="E4" t="s">
        <v>67</v>
      </c>
      <c r="I4">
        <v>10</v>
      </c>
      <c r="J4">
        <v>4</v>
      </c>
      <c r="K4">
        <f>14*60</f>
        <v>840</v>
      </c>
      <c r="M4">
        <f t="shared" si="0"/>
        <v>2.9242792860618816</v>
      </c>
      <c r="O4" t="s">
        <v>79</v>
      </c>
      <c r="P4">
        <v>1957</v>
      </c>
      <c r="Q4" t="s">
        <v>82</v>
      </c>
      <c r="R4" t="s">
        <v>83</v>
      </c>
    </row>
    <row r="5" spans="1:18" x14ac:dyDescent="0.25">
      <c r="A5" t="s">
        <v>76</v>
      </c>
      <c r="B5" t="s">
        <v>77</v>
      </c>
      <c r="D5" t="s">
        <v>67</v>
      </c>
      <c r="E5" t="s">
        <v>67</v>
      </c>
      <c r="I5">
        <v>5</v>
      </c>
      <c r="J5">
        <v>4</v>
      </c>
      <c r="K5">
        <f>2/5.5</f>
        <v>0.36363636363636365</v>
      </c>
      <c r="M5">
        <f t="shared" si="0"/>
        <v>-0.43933269383026263</v>
      </c>
      <c r="O5" t="s">
        <v>79</v>
      </c>
      <c r="P5">
        <v>1957</v>
      </c>
      <c r="Q5" t="s">
        <v>82</v>
      </c>
      <c r="R5" t="s">
        <v>84</v>
      </c>
    </row>
    <row r="6" spans="1:18" x14ac:dyDescent="0.25">
      <c r="A6" t="s">
        <v>76</v>
      </c>
      <c r="B6" t="s">
        <v>77</v>
      </c>
      <c r="D6" t="s">
        <v>67</v>
      </c>
      <c r="E6" t="s">
        <v>67</v>
      </c>
      <c r="I6">
        <v>6</v>
      </c>
      <c r="J6">
        <v>4</v>
      </c>
      <c r="K6">
        <f>2/5.5</f>
        <v>0.36363636363636365</v>
      </c>
      <c r="M6">
        <f t="shared" si="0"/>
        <v>-0.43933269383026263</v>
      </c>
      <c r="O6" t="s">
        <v>79</v>
      </c>
      <c r="P6">
        <v>1957</v>
      </c>
      <c r="Q6" t="s">
        <v>82</v>
      </c>
      <c r="R6" t="s">
        <v>84</v>
      </c>
    </row>
    <row r="7" spans="1:18" x14ac:dyDescent="0.25">
      <c r="A7" t="s">
        <v>76</v>
      </c>
      <c r="B7" t="s">
        <v>77</v>
      </c>
      <c r="D7" t="s">
        <v>67</v>
      </c>
      <c r="E7" t="s">
        <v>67</v>
      </c>
      <c r="I7">
        <v>3</v>
      </c>
      <c r="J7">
        <v>4</v>
      </c>
      <c r="K7">
        <f>(10/60)/6</f>
        <v>2.7777777777777776E-2</v>
      </c>
      <c r="M7">
        <f t="shared" si="0"/>
        <v>-1.5563025007672873</v>
      </c>
      <c r="O7" t="s">
        <v>79</v>
      </c>
      <c r="P7">
        <v>1957</v>
      </c>
      <c r="Q7" t="s">
        <v>82</v>
      </c>
      <c r="R7" t="s">
        <v>83</v>
      </c>
    </row>
    <row r="8" spans="1:18" x14ac:dyDescent="0.25">
      <c r="A8" t="s">
        <v>76</v>
      </c>
      <c r="B8" t="s">
        <v>77</v>
      </c>
      <c r="D8" t="s">
        <v>67</v>
      </c>
      <c r="E8" t="s">
        <v>67</v>
      </c>
      <c r="I8">
        <v>4</v>
      </c>
      <c r="J8">
        <v>4</v>
      </c>
      <c r="K8">
        <f>(10/60)/6</f>
        <v>2.7777777777777776E-2</v>
      </c>
      <c r="M8">
        <f t="shared" si="0"/>
        <v>-1.5563025007672873</v>
      </c>
      <c r="O8" t="s">
        <v>79</v>
      </c>
      <c r="P8">
        <v>1957</v>
      </c>
      <c r="Q8" t="s">
        <v>82</v>
      </c>
      <c r="R8" t="s">
        <v>83</v>
      </c>
    </row>
    <row r="9" spans="1:18" x14ac:dyDescent="0.25">
      <c r="A9" t="s">
        <v>76</v>
      </c>
      <c r="B9" t="s">
        <v>77</v>
      </c>
      <c r="E9" t="s">
        <v>85</v>
      </c>
      <c r="I9">
        <v>10</v>
      </c>
      <c r="J9">
        <v>4</v>
      </c>
      <c r="K9">
        <f>14*60</f>
        <v>840</v>
      </c>
      <c r="M9">
        <f t="shared" si="0"/>
        <v>2.9242792860618816</v>
      </c>
      <c r="O9" t="s">
        <v>86</v>
      </c>
      <c r="P9">
        <v>2002</v>
      </c>
      <c r="Q9" t="s">
        <v>87</v>
      </c>
      <c r="R9" t="s">
        <v>88</v>
      </c>
    </row>
    <row r="10" spans="1:18" x14ac:dyDescent="0.25">
      <c r="A10" t="s">
        <v>76</v>
      </c>
      <c r="B10" t="s">
        <v>77</v>
      </c>
      <c r="E10" t="s">
        <v>85</v>
      </c>
      <c r="I10">
        <v>9</v>
      </c>
      <c r="J10">
        <v>4</v>
      </c>
      <c r="K10">
        <f>7*24*60</f>
        <v>10080</v>
      </c>
      <c r="M10">
        <f t="shared" si="0"/>
        <v>4.0034605321095063</v>
      </c>
      <c r="O10" t="s">
        <v>86</v>
      </c>
      <c r="P10">
        <v>2002</v>
      </c>
      <c r="Q10" t="s">
        <v>87</v>
      </c>
      <c r="R10" t="s">
        <v>88</v>
      </c>
    </row>
    <row r="11" spans="1:18" x14ac:dyDescent="0.25">
      <c r="A11" t="s">
        <v>76</v>
      </c>
      <c r="B11" t="s">
        <v>77</v>
      </c>
      <c r="E11" t="s">
        <v>85</v>
      </c>
      <c r="I11">
        <v>8</v>
      </c>
      <c r="J11">
        <v>4</v>
      </c>
      <c r="K11">
        <f>3*7*24*60</f>
        <v>30240</v>
      </c>
      <c r="M11">
        <f t="shared" si="0"/>
        <v>4.4805817868291689</v>
      </c>
      <c r="O11" t="s">
        <v>86</v>
      </c>
      <c r="P11">
        <v>2002</v>
      </c>
      <c r="Q11" t="s">
        <v>87</v>
      </c>
      <c r="R11" t="s">
        <v>88</v>
      </c>
    </row>
    <row r="12" spans="1:18" x14ac:dyDescent="0.25">
      <c r="A12" t="s">
        <v>76</v>
      </c>
      <c r="B12" t="s">
        <v>77</v>
      </c>
      <c r="E12" t="s">
        <v>85</v>
      </c>
      <c r="I12">
        <v>7.3</v>
      </c>
      <c r="J12">
        <v>4</v>
      </c>
      <c r="K12">
        <f>5*7*24*60</f>
        <v>50400</v>
      </c>
      <c r="M12">
        <f t="shared" si="0"/>
        <v>4.702430536445525</v>
      </c>
      <c r="O12" t="s">
        <v>86</v>
      </c>
      <c r="P12">
        <v>2002</v>
      </c>
      <c r="Q12" t="s">
        <v>87</v>
      </c>
      <c r="R12" t="s">
        <v>88</v>
      </c>
    </row>
    <row r="13" spans="1:18" x14ac:dyDescent="0.25">
      <c r="A13" t="s">
        <v>76</v>
      </c>
      <c r="B13" t="s">
        <v>77</v>
      </c>
      <c r="E13" t="s">
        <v>85</v>
      </c>
      <c r="I13">
        <v>6.5</v>
      </c>
      <c r="J13">
        <v>4</v>
      </c>
      <c r="K13">
        <f>14*60</f>
        <v>840</v>
      </c>
      <c r="M13">
        <f t="shared" si="0"/>
        <v>2.9242792860618816</v>
      </c>
      <c r="O13" t="s">
        <v>86</v>
      </c>
      <c r="P13">
        <v>2002</v>
      </c>
      <c r="Q13" t="s">
        <v>87</v>
      </c>
      <c r="R13" t="s">
        <v>88</v>
      </c>
    </row>
    <row r="14" spans="1:18" x14ac:dyDescent="0.25">
      <c r="A14" t="s">
        <v>76</v>
      </c>
      <c r="B14" t="s">
        <v>77</v>
      </c>
      <c r="E14" t="s">
        <v>85</v>
      </c>
      <c r="I14">
        <v>6</v>
      </c>
      <c r="J14">
        <v>4</v>
      </c>
      <c r="K14">
        <v>1</v>
      </c>
      <c r="M14">
        <f t="shared" si="0"/>
        <v>0</v>
      </c>
      <c r="O14" t="s">
        <v>86</v>
      </c>
      <c r="P14">
        <v>2002</v>
      </c>
      <c r="Q14" t="s">
        <v>87</v>
      </c>
      <c r="R14" t="s">
        <v>88</v>
      </c>
    </row>
    <row r="15" spans="1:18" x14ac:dyDescent="0.25">
      <c r="A15" t="s">
        <v>76</v>
      </c>
      <c r="B15" t="s">
        <v>77</v>
      </c>
      <c r="E15" t="s">
        <v>85</v>
      </c>
      <c r="I15">
        <v>5</v>
      </c>
      <c r="J15">
        <v>4</v>
      </c>
      <c r="K15">
        <f>1/60</f>
        <v>1.6666666666666666E-2</v>
      </c>
      <c r="M15">
        <f t="shared" si="0"/>
        <v>-1.7781512503836436</v>
      </c>
      <c r="O15" t="s">
        <v>86</v>
      </c>
      <c r="P15">
        <v>2002</v>
      </c>
      <c r="Q15" t="s">
        <v>87</v>
      </c>
      <c r="R15" t="s">
        <v>88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workbookViewId="0">
      <selection activeCell="M2" activeCellId="1" sqref="I2:I8 M2:M8"/>
    </sheetView>
  </sheetViews>
  <sheetFormatPr baseColWidth="10" defaultColWidth="9.140625" defaultRowHeight="15" x14ac:dyDescent="0.25"/>
  <sheetData>
    <row r="1" spans="1:18" s="6" customFormat="1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5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76</v>
      </c>
      <c r="D2" t="s">
        <v>67</v>
      </c>
      <c r="E2" t="s">
        <v>67</v>
      </c>
      <c r="I2">
        <v>3.5</v>
      </c>
      <c r="J2">
        <v>20</v>
      </c>
      <c r="K2">
        <f>24*60/5</f>
        <v>288</v>
      </c>
      <c r="M2">
        <f t="shared" ref="M2:M8" si="0">LOG10(K2)</f>
        <v>2.459392487759231</v>
      </c>
      <c r="O2" t="s">
        <v>89</v>
      </c>
      <c r="P2">
        <v>1983</v>
      </c>
      <c r="Q2" t="s">
        <v>90</v>
      </c>
      <c r="R2" t="s">
        <v>91</v>
      </c>
    </row>
    <row r="3" spans="1:18" x14ac:dyDescent="0.25">
      <c r="A3" t="s">
        <v>76</v>
      </c>
      <c r="D3" t="s">
        <v>67</v>
      </c>
      <c r="E3" t="s">
        <v>67</v>
      </c>
      <c r="I3">
        <v>4</v>
      </c>
      <c r="J3">
        <v>20</v>
      </c>
      <c r="K3">
        <f>24*60/3</f>
        <v>480</v>
      </c>
      <c r="M3">
        <f t="shared" si="0"/>
        <v>2.6812412373755872</v>
      </c>
      <c r="O3" t="s">
        <v>89</v>
      </c>
      <c r="P3">
        <v>1983</v>
      </c>
      <c r="Q3" t="s">
        <v>90</v>
      </c>
      <c r="R3" t="s">
        <v>91</v>
      </c>
    </row>
    <row r="4" spans="1:18" x14ac:dyDescent="0.25">
      <c r="A4" t="s">
        <v>76</v>
      </c>
      <c r="D4" t="s">
        <v>67</v>
      </c>
      <c r="E4" t="s">
        <v>67</v>
      </c>
      <c r="I4">
        <v>4.5</v>
      </c>
      <c r="J4">
        <v>20</v>
      </c>
      <c r="K4">
        <f>24*60/2</f>
        <v>720</v>
      </c>
      <c r="M4">
        <f t="shared" si="0"/>
        <v>2.8573324964312685</v>
      </c>
      <c r="O4" t="s">
        <v>89</v>
      </c>
      <c r="P4">
        <v>1983</v>
      </c>
      <c r="Q4" t="s">
        <v>90</v>
      </c>
      <c r="R4" t="s">
        <v>91</v>
      </c>
    </row>
    <row r="5" spans="1:18" x14ac:dyDescent="0.25">
      <c r="A5" t="s">
        <v>76</v>
      </c>
      <c r="D5" t="s">
        <v>67</v>
      </c>
      <c r="E5" t="s">
        <v>67</v>
      </c>
      <c r="I5">
        <v>3.5</v>
      </c>
      <c r="J5">
        <v>30</v>
      </c>
      <c r="K5">
        <f>24*60/5</f>
        <v>288</v>
      </c>
      <c r="M5">
        <f t="shared" si="0"/>
        <v>2.459392487759231</v>
      </c>
      <c r="O5" t="s">
        <v>89</v>
      </c>
      <c r="P5">
        <v>1983</v>
      </c>
      <c r="Q5" t="s">
        <v>90</v>
      </c>
      <c r="R5" t="s">
        <v>91</v>
      </c>
    </row>
    <row r="6" spans="1:18" x14ac:dyDescent="0.25">
      <c r="A6" t="s">
        <v>76</v>
      </c>
      <c r="D6" t="s">
        <v>67</v>
      </c>
      <c r="E6" t="s">
        <v>67</v>
      </c>
      <c r="I6">
        <v>4</v>
      </c>
      <c r="J6">
        <v>30</v>
      </c>
      <c r="K6">
        <f>24*60/5</f>
        <v>288</v>
      </c>
      <c r="M6">
        <f t="shared" si="0"/>
        <v>2.459392487759231</v>
      </c>
      <c r="O6" t="s">
        <v>89</v>
      </c>
      <c r="P6">
        <v>1983</v>
      </c>
      <c r="Q6" t="s">
        <v>90</v>
      </c>
      <c r="R6" t="s">
        <v>91</v>
      </c>
    </row>
    <row r="7" spans="1:18" x14ac:dyDescent="0.25">
      <c r="A7" t="s">
        <v>76</v>
      </c>
      <c r="D7" t="s">
        <v>67</v>
      </c>
      <c r="E7" t="s">
        <v>67</v>
      </c>
      <c r="I7">
        <v>4.5</v>
      </c>
      <c r="J7">
        <v>30</v>
      </c>
      <c r="K7">
        <f>24*60/4</f>
        <v>360</v>
      </c>
      <c r="M7">
        <f t="shared" si="0"/>
        <v>2.5563025007672873</v>
      </c>
      <c r="O7" t="s">
        <v>89</v>
      </c>
      <c r="P7">
        <v>1983</v>
      </c>
      <c r="Q7" t="s">
        <v>90</v>
      </c>
      <c r="R7" t="s">
        <v>91</v>
      </c>
    </row>
    <row r="8" spans="1:18" x14ac:dyDescent="0.25">
      <c r="A8" t="s">
        <v>76</v>
      </c>
      <c r="D8" t="s">
        <v>67</v>
      </c>
      <c r="E8" t="s">
        <v>67</v>
      </c>
      <c r="I8">
        <v>4.5</v>
      </c>
      <c r="J8">
        <v>40</v>
      </c>
      <c r="K8">
        <f>24*60/5</f>
        <v>288</v>
      </c>
      <c r="M8">
        <f t="shared" si="0"/>
        <v>2.459392487759231</v>
      </c>
      <c r="O8" t="s">
        <v>89</v>
      </c>
      <c r="P8">
        <v>1983</v>
      </c>
      <c r="Q8" t="s">
        <v>90</v>
      </c>
      <c r="R8" t="s">
        <v>91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B1" workbookViewId="0">
      <selection activeCell="M4" sqref="M4"/>
    </sheetView>
  </sheetViews>
  <sheetFormatPr baseColWidth="10" defaultColWidth="9.140625" defaultRowHeight="15" x14ac:dyDescent="0.25"/>
  <cols>
    <col min="1" max="1" width="20" bestFit="1" customWidth="1"/>
  </cols>
  <sheetData>
    <row r="1" spans="1:18" s="6" customFormat="1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3" t="s">
        <v>92</v>
      </c>
      <c r="L1" s="2" t="s">
        <v>11</v>
      </c>
      <c r="M1" s="4" t="s">
        <v>12</v>
      </c>
      <c r="N1" s="5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93</v>
      </c>
      <c r="I2">
        <v>3</v>
      </c>
      <c r="J2" t="s">
        <v>94</v>
      </c>
      <c r="K2">
        <f>70*60</f>
        <v>4200</v>
      </c>
      <c r="M2">
        <f>LOG10(K2*3.3)</f>
        <v>4.1417632302757879</v>
      </c>
      <c r="O2" t="s">
        <v>95</v>
      </c>
      <c r="P2">
        <v>2000</v>
      </c>
      <c r="Q2" t="s">
        <v>96</v>
      </c>
      <c r="R2" t="s">
        <v>97</v>
      </c>
    </row>
    <row r="3" spans="1:18" x14ac:dyDescent="0.25">
      <c r="A3" t="s">
        <v>93</v>
      </c>
      <c r="I3">
        <v>3.5</v>
      </c>
      <c r="J3">
        <v>4</v>
      </c>
      <c r="K3">
        <f>174*60</f>
        <v>10440</v>
      </c>
      <c r="M3">
        <f t="shared" ref="M3:M10" si="0">LOG10(K3*3.3)</f>
        <v>4.5372144385441304</v>
      </c>
      <c r="O3" t="s">
        <v>95</v>
      </c>
      <c r="P3">
        <v>2000</v>
      </c>
      <c r="Q3" t="s">
        <v>96</v>
      </c>
      <c r="R3" t="s">
        <v>97</v>
      </c>
    </row>
    <row r="4" spans="1:18" x14ac:dyDescent="0.25">
      <c r="A4" t="s">
        <v>93</v>
      </c>
      <c r="I4">
        <v>4</v>
      </c>
      <c r="J4">
        <v>4</v>
      </c>
      <c r="K4">
        <f>260*60</f>
        <v>15600</v>
      </c>
      <c r="M4">
        <f t="shared" si="0"/>
        <v>4.7116385382323491</v>
      </c>
      <c r="O4" t="s">
        <v>95</v>
      </c>
      <c r="P4">
        <v>2000</v>
      </c>
      <c r="Q4" t="s">
        <v>96</v>
      </c>
      <c r="R4" t="s">
        <v>97</v>
      </c>
    </row>
    <row r="5" spans="1:18" x14ac:dyDescent="0.25">
      <c r="A5" t="s">
        <v>93</v>
      </c>
      <c r="I5">
        <v>3</v>
      </c>
      <c r="J5" t="s">
        <v>98</v>
      </c>
      <c r="K5">
        <f>5*60</f>
        <v>300</v>
      </c>
      <c r="M5">
        <f t="shared" si="0"/>
        <v>2.9956351945975501</v>
      </c>
      <c r="O5" t="s">
        <v>95</v>
      </c>
      <c r="P5">
        <v>2000</v>
      </c>
      <c r="Q5" t="s">
        <v>96</v>
      </c>
      <c r="R5" t="s">
        <v>97</v>
      </c>
    </row>
    <row r="6" spans="1:18" x14ac:dyDescent="0.25">
      <c r="A6" t="s">
        <v>93</v>
      </c>
      <c r="I6">
        <v>3.5</v>
      </c>
      <c r="J6">
        <v>21</v>
      </c>
      <c r="K6">
        <f>5*60</f>
        <v>300</v>
      </c>
      <c r="M6">
        <f t="shared" si="0"/>
        <v>2.9956351945975501</v>
      </c>
      <c r="O6" t="s">
        <v>95</v>
      </c>
      <c r="P6">
        <v>2000</v>
      </c>
      <c r="Q6" t="s">
        <v>96</v>
      </c>
      <c r="R6" t="s">
        <v>97</v>
      </c>
    </row>
    <row r="7" spans="1:18" x14ac:dyDescent="0.25">
      <c r="A7" t="s">
        <v>93</v>
      </c>
      <c r="I7">
        <v>4</v>
      </c>
      <c r="J7">
        <v>21</v>
      </c>
      <c r="K7">
        <f>11*60</f>
        <v>660</v>
      </c>
      <c r="M7">
        <f t="shared" si="0"/>
        <v>3.3380578754197563</v>
      </c>
      <c r="O7" t="s">
        <v>95</v>
      </c>
      <c r="P7">
        <v>2000</v>
      </c>
      <c r="Q7" t="s">
        <v>96</v>
      </c>
      <c r="R7" t="s">
        <v>97</v>
      </c>
    </row>
    <row r="8" spans="1:18" x14ac:dyDescent="0.25">
      <c r="A8" t="s">
        <v>93</v>
      </c>
      <c r="I8">
        <v>7</v>
      </c>
      <c r="J8">
        <v>21</v>
      </c>
      <c r="K8">
        <f>50*60</f>
        <v>3000</v>
      </c>
      <c r="M8">
        <f t="shared" si="0"/>
        <v>3.9956351945975501</v>
      </c>
      <c r="O8" t="s">
        <v>95</v>
      </c>
      <c r="P8">
        <v>2000</v>
      </c>
      <c r="Q8" t="s">
        <v>96</v>
      </c>
      <c r="R8" t="s">
        <v>97</v>
      </c>
    </row>
    <row r="9" spans="1:18" x14ac:dyDescent="0.25">
      <c r="A9" t="s">
        <v>93</v>
      </c>
      <c r="I9">
        <v>4</v>
      </c>
      <c r="J9" t="s">
        <v>99</v>
      </c>
      <c r="K9">
        <f>0.7*60</f>
        <v>42</v>
      </c>
      <c r="M9">
        <f t="shared" si="0"/>
        <v>2.1417632302757879</v>
      </c>
      <c r="O9" t="s">
        <v>95</v>
      </c>
      <c r="P9">
        <v>2000</v>
      </c>
      <c r="Q9" t="s">
        <v>96</v>
      </c>
      <c r="R9" t="s">
        <v>97</v>
      </c>
    </row>
    <row r="10" spans="1:18" x14ac:dyDescent="0.25">
      <c r="A10" t="s">
        <v>93</v>
      </c>
      <c r="I10">
        <v>7</v>
      </c>
      <c r="J10">
        <v>37</v>
      </c>
      <c r="K10">
        <f>7*60</f>
        <v>420</v>
      </c>
      <c r="M10">
        <f t="shared" si="0"/>
        <v>3.1417632302757879</v>
      </c>
      <c r="O10" t="s">
        <v>95</v>
      </c>
      <c r="P10">
        <v>2000</v>
      </c>
      <c r="Q10" t="s">
        <v>96</v>
      </c>
      <c r="R10" t="s">
        <v>97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B1" workbookViewId="0">
      <selection activeCell="I5" sqref="I5"/>
    </sheetView>
  </sheetViews>
  <sheetFormatPr baseColWidth="10" defaultColWidth="9.140625" defaultRowHeight="15" x14ac:dyDescent="0.25"/>
  <cols>
    <col min="1" max="1" width="32.5703125" customWidth="1"/>
    <col min="2" max="2" width="7" bestFit="1" customWidth="1"/>
    <col min="3" max="3" width="16" customWidth="1"/>
    <col min="4" max="4" width="15.7109375" bestFit="1" customWidth="1"/>
    <col min="5" max="5" width="20.42578125" bestFit="1" customWidth="1"/>
    <col min="6" max="6" width="24.5703125" customWidth="1"/>
    <col min="7" max="7" width="10.28515625" customWidth="1"/>
    <col min="8" max="8" width="7.140625" customWidth="1"/>
    <col min="9" max="9" width="12" customWidth="1"/>
    <col min="10" max="10" width="11.42578125" customWidth="1"/>
    <col min="11" max="11" width="8.140625" customWidth="1"/>
    <col min="12" max="12" width="5.42578125" bestFit="1" customWidth="1"/>
    <col min="13" max="13" width="7" customWidth="1"/>
    <col min="17" max="17" width="42.42578125" bestFit="1" customWidth="1"/>
  </cols>
  <sheetData>
    <row r="1" spans="1:17" s="6" customFormat="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7</v>
      </c>
      <c r="H1" s="2" t="s">
        <v>8</v>
      </c>
      <c r="I1" s="2" t="s">
        <v>9</v>
      </c>
      <c r="J1" s="3" t="s">
        <v>10</v>
      </c>
      <c r="K1" s="2" t="s">
        <v>11</v>
      </c>
      <c r="L1" s="4" t="s">
        <v>12</v>
      </c>
      <c r="M1" s="5" t="s">
        <v>13</v>
      </c>
      <c r="N1" s="1" t="s">
        <v>14</v>
      </c>
      <c r="O1" s="1" t="s">
        <v>15</v>
      </c>
      <c r="P1" s="1" t="s">
        <v>16</v>
      </c>
      <c r="Q1" s="1" t="s">
        <v>17</v>
      </c>
    </row>
    <row r="2" spans="1:17" x14ac:dyDescent="0.25">
      <c r="A2" t="s">
        <v>100</v>
      </c>
      <c r="B2" t="s">
        <v>101</v>
      </c>
      <c r="C2" t="s">
        <v>20</v>
      </c>
      <c r="E2" t="s">
        <v>102</v>
      </c>
      <c r="F2" t="s">
        <v>103</v>
      </c>
      <c r="H2">
        <v>10</v>
      </c>
      <c r="J2">
        <v>27.8</v>
      </c>
      <c r="L2">
        <f t="shared" ref="L2:L22" si="0">LOG10(J2)</f>
        <v>1.4440447959180762</v>
      </c>
      <c r="N2" t="s">
        <v>104</v>
      </c>
      <c r="O2">
        <v>2018</v>
      </c>
      <c r="Q2" t="s">
        <v>105</v>
      </c>
    </row>
    <row r="3" spans="1:17" x14ac:dyDescent="0.25">
      <c r="A3" t="s">
        <v>100</v>
      </c>
      <c r="B3" t="s">
        <v>106</v>
      </c>
      <c r="C3" t="s">
        <v>20</v>
      </c>
      <c r="E3" t="s">
        <v>102</v>
      </c>
      <c r="F3" t="s">
        <v>103</v>
      </c>
      <c r="H3">
        <v>10</v>
      </c>
      <c r="J3">
        <v>190.5</v>
      </c>
      <c r="L3">
        <f t="shared" si="0"/>
        <v>2.2798949800116382</v>
      </c>
      <c r="N3" t="s">
        <v>104</v>
      </c>
      <c r="O3">
        <v>2018</v>
      </c>
      <c r="Q3" t="s">
        <v>107</v>
      </c>
    </row>
    <row r="4" spans="1:17" x14ac:dyDescent="0.25">
      <c r="A4" t="s">
        <v>100</v>
      </c>
      <c r="B4" t="s">
        <v>108</v>
      </c>
      <c r="C4" t="s">
        <v>20</v>
      </c>
      <c r="E4" t="s">
        <v>102</v>
      </c>
      <c r="F4" t="s">
        <v>103</v>
      </c>
      <c r="H4">
        <v>12</v>
      </c>
      <c r="J4">
        <v>12.9</v>
      </c>
      <c r="L4">
        <f t="shared" si="0"/>
        <v>1.110589710299249</v>
      </c>
      <c r="N4" t="s">
        <v>104</v>
      </c>
      <c r="O4">
        <v>2018</v>
      </c>
    </row>
    <row r="5" spans="1:17" x14ac:dyDescent="0.25">
      <c r="A5" t="s">
        <v>100</v>
      </c>
      <c r="B5" t="s">
        <v>109</v>
      </c>
      <c r="C5" t="s">
        <v>20</v>
      </c>
      <c r="D5" t="s">
        <v>110</v>
      </c>
      <c r="E5" t="s">
        <v>111</v>
      </c>
      <c r="F5" t="s">
        <v>112</v>
      </c>
      <c r="H5">
        <v>7.2</v>
      </c>
      <c r="I5">
        <v>40</v>
      </c>
      <c r="J5">
        <v>119.9</v>
      </c>
      <c r="L5">
        <f t="shared" si="0"/>
        <v>2.0788191830988487</v>
      </c>
      <c r="N5" t="s">
        <v>113</v>
      </c>
      <c r="O5">
        <v>2015</v>
      </c>
      <c r="Q5" t="s">
        <v>114</v>
      </c>
    </row>
    <row r="6" spans="1:17" x14ac:dyDescent="0.25">
      <c r="A6" t="s">
        <v>100</v>
      </c>
      <c r="B6" t="s">
        <v>109</v>
      </c>
      <c r="C6" t="s">
        <v>20</v>
      </c>
      <c r="D6" t="s">
        <v>110</v>
      </c>
      <c r="E6" t="s">
        <v>111</v>
      </c>
      <c r="F6" t="s">
        <v>112</v>
      </c>
      <c r="H6">
        <v>7.2</v>
      </c>
      <c r="I6">
        <v>44</v>
      </c>
      <c r="J6">
        <v>71.2</v>
      </c>
      <c r="L6">
        <f t="shared" si="0"/>
        <v>1.8524799936368563</v>
      </c>
      <c r="N6" t="s">
        <v>113</v>
      </c>
      <c r="O6">
        <v>2015</v>
      </c>
      <c r="Q6" t="s">
        <v>114</v>
      </c>
    </row>
    <row r="7" spans="1:17" x14ac:dyDescent="0.25">
      <c r="A7" t="s">
        <v>100</v>
      </c>
      <c r="B7" t="s">
        <v>109</v>
      </c>
      <c r="C7" t="s">
        <v>20</v>
      </c>
      <c r="D7" t="s">
        <v>110</v>
      </c>
      <c r="E7" t="s">
        <v>111</v>
      </c>
      <c r="F7" t="s">
        <v>112</v>
      </c>
      <c r="H7">
        <v>7.2</v>
      </c>
      <c r="I7">
        <v>48</v>
      </c>
      <c r="J7">
        <v>24.9</v>
      </c>
      <c r="L7">
        <f t="shared" si="0"/>
        <v>1.3961993470957363</v>
      </c>
      <c r="N7" t="s">
        <v>113</v>
      </c>
      <c r="O7">
        <v>2015</v>
      </c>
      <c r="Q7" t="s">
        <v>114</v>
      </c>
    </row>
    <row r="8" spans="1:17" x14ac:dyDescent="0.25">
      <c r="A8" t="s">
        <v>100</v>
      </c>
      <c r="B8" t="s">
        <v>109</v>
      </c>
      <c r="C8" t="s">
        <v>20</v>
      </c>
      <c r="D8" t="s">
        <v>110</v>
      </c>
      <c r="E8" t="s">
        <v>111</v>
      </c>
      <c r="F8" t="s">
        <v>112</v>
      </c>
      <c r="H8">
        <v>9.1999999999999993</v>
      </c>
      <c r="I8">
        <v>40</v>
      </c>
      <c r="J8">
        <v>27</v>
      </c>
      <c r="L8">
        <f t="shared" si="0"/>
        <v>1.4313637641589874</v>
      </c>
      <c r="N8" t="s">
        <v>113</v>
      </c>
      <c r="O8">
        <v>2015</v>
      </c>
      <c r="Q8" t="s">
        <v>114</v>
      </c>
    </row>
    <row r="9" spans="1:17" x14ac:dyDescent="0.25">
      <c r="A9" t="s">
        <v>100</v>
      </c>
      <c r="B9" t="s">
        <v>109</v>
      </c>
      <c r="C9" t="s">
        <v>20</v>
      </c>
      <c r="D9" t="s">
        <v>110</v>
      </c>
      <c r="E9" t="s">
        <v>111</v>
      </c>
      <c r="F9" t="s">
        <v>112</v>
      </c>
      <c r="H9">
        <v>9.1999999999999993</v>
      </c>
      <c r="I9">
        <v>44</v>
      </c>
      <c r="J9">
        <v>17.7</v>
      </c>
      <c r="L9">
        <f t="shared" si="0"/>
        <v>1.2479732663618066</v>
      </c>
      <c r="N9" t="s">
        <v>113</v>
      </c>
      <c r="O9">
        <v>2015</v>
      </c>
      <c r="Q9" t="s">
        <v>114</v>
      </c>
    </row>
    <row r="10" spans="1:17" x14ac:dyDescent="0.25">
      <c r="A10" t="s">
        <v>100</v>
      </c>
      <c r="B10" t="s">
        <v>109</v>
      </c>
      <c r="C10" t="s">
        <v>20</v>
      </c>
      <c r="D10" t="s">
        <v>110</v>
      </c>
      <c r="E10" t="s">
        <v>111</v>
      </c>
      <c r="F10" t="s">
        <v>112</v>
      </c>
      <c r="H10">
        <v>9.1999999999999993</v>
      </c>
      <c r="I10">
        <v>48</v>
      </c>
      <c r="J10">
        <v>4.4000000000000004</v>
      </c>
      <c r="L10">
        <f t="shared" si="0"/>
        <v>0.64345267648618742</v>
      </c>
      <c r="N10" t="s">
        <v>113</v>
      </c>
      <c r="O10">
        <v>2015</v>
      </c>
      <c r="Q10" t="s">
        <v>114</v>
      </c>
    </row>
    <row r="11" spans="1:17" x14ac:dyDescent="0.25">
      <c r="A11" t="s">
        <v>100</v>
      </c>
      <c r="B11" t="s">
        <v>109</v>
      </c>
      <c r="C11" t="s">
        <v>20</v>
      </c>
      <c r="D11" t="s">
        <v>110</v>
      </c>
      <c r="E11" t="s">
        <v>111</v>
      </c>
      <c r="F11" t="s">
        <v>112</v>
      </c>
      <c r="H11">
        <v>10.199999999999999</v>
      </c>
      <c r="I11">
        <v>40</v>
      </c>
      <c r="J11">
        <v>14.4</v>
      </c>
      <c r="L11">
        <f t="shared" si="0"/>
        <v>1.1583624920952498</v>
      </c>
      <c r="N11" t="s">
        <v>113</v>
      </c>
      <c r="O11">
        <v>2015</v>
      </c>
      <c r="Q11" t="s">
        <v>114</v>
      </c>
    </row>
    <row r="12" spans="1:17" x14ac:dyDescent="0.25">
      <c r="A12" t="s">
        <v>100</v>
      </c>
      <c r="B12" t="s">
        <v>109</v>
      </c>
      <c r="C12" t="s">
        <v>20</v>
      </c>
      <c r="D12" t="s">
        <v>110</v>
      </c>
      <c r="E12" t="s">
        <v>111</v>
      </c>
      <c r="F12" t="s">
        <v>112</v>
      </c>
      <c r="H12">
        <v>10.199999999999999</v>
      </c>
      <c r="I12">
        <v>44</v>
      </c>
      <c r="J12">
        <v>7.7</v>
      </c>
      <c r="L12">
        <f t="shared" si="0"/>
        <v>0.88649072517248184</v>
      </c>
      <c r="N12" t="s">
        <v>113</v>
      </c>
      <c r="O12">
        <v>2015</v>
      </c>
      <c r="Q12" t="s">
        <v>114</v>
      </c>
    </row>
    <row r="13" spans="1:17" x14ac:dyDescent="0.25">
      <c r="A13" t="s">
        <v>100</v>
      </c>
      <c r="B13" t="s">
        <v>109</v>
      </c>
      <c r="C13" t="s">
        <v>20</v>
      </c>
      <c r="D13" t="s">
        <v>110</v>
      </c>
      <c r="E13" t="s">
        <v>111</v>
      </c>
      <c r="F13" t="s">
        <v>112</v>
      </c>
      <c r="H13">
        <v>10.199999999999999</v>
      </c>
      <c r="I13">
        <v>48</v>
      </c>
      <c r="J13">
        <v>1.3</v>
      </c>
      <c r="L13">
        <f t="shared" si="0"/>
        <v>0.11394335230683679</v>
      </c>
      <c r="N13" t="s">
        <v>113</v>
      </c>
      <c r="O13">
        <v>2015</v>
      </c>
      <c r="Q13" t="s">
        <v>114</v>
      </c>
    </row>
    <row r="14" spans="1:17" x14ac:dyDescent="0.25">
      <c r="A14" t="s">
        <v>100</v>
      </c>
      <c r="B14" t="s">
        <v>109</v>
      </c>
      <c r="C14" t="s">
        <v>20</v>
      </c>
      <c r="D14" t="s">
        <v>110</v>
      </c>
      <c r="E14" t="s">
        <v>115</v>
      </c>
      <c r="F14" t="s">
        <v>112</v>
      </c>
      <c r="H14">
        <v>7.2</v>
      </c>
      <c r="I14">
        <v>40</v>
      </c>
      <c r="J14">
        <v>15.9</v>
      </c>
      <c r="L14">
        <f t="shared" si="0"/>
        <v>1.2013971243204515</v>
      </c>
      <c r="N14" t="s">
        <v>113</v>
      </c>
      <c r="O14">
        <v>2015</v>
      </c>
      <c r="Q14" t="s">
        <v>114</v>
      </c>
    </row>
    <row r="15" spans="1:17" x14ac:dyDescent="0.25">
      <c r="A15" t="s">
        <v>100</v>
      </c>
      <c r="B15" t="s">
        <v>109</v>
      </c>
      <c r="C15" t="s">
        <v>20</v>
      </c>
      <c r="D15" t="s">
        <v>110</v>
      </c>
      <c r="E15" t="s">
        <v>115</v>
      </c>
      <c r="F15" t="s">
        <v>112</v>
      </c>
      <c r="H15">
        <v>7.2</v>
      </c>
      <c r="I15">
        <v>44</v>
      </c>
      <c r="J15">
        <v>8.6</v>
      </c>
      <c r="L15">
        <f t="shared" si="0"/>
        <v>0.93449845124356767</v>
      </c>
      <c r="N15" t="s">
        <v>113</v>
      </c>
      <c r="O15">
        <v>2015</v>
      </c>
      <c r="Q15" t="s">
        <v>114</v>
      </c>
    </row>
    <row r="16" spans="1:17" x14ac:dyDescent="0.25">
      <c r="A16" t="s">
        <v>100</v>
      </c>
      <c r="B16" t="s">
        <v>109</v>
      </c>
      <c r="C16" t="s">
        <v>20</v>
      </c>
      <c r="D16" t="s">
        <v>110</v>
      </c>
      <c r="E16" t="s">
        <v>115</v>
      </c>
      <c r="F16" t="s">
        <v>112</v>
      </c>
      <c r="H16">
        <v>7.2</v>
      </c>
      <c r="I16">
        <v>48</v>
      </c>
      <c r="J16">
        <v>2.8</v>
      </c>
      <c r="L16">
        <f t="shared" si="0"/>
        <v>0.44715803134221921</v>
      </c>
      <c r="N16" t="s">
        <v>113</v>
      </c>
      <c r="O16">
        <v>2015</v>
      </c>
      <c r="Q16" t="s">
        <v>114</v>
      </c>
    </row>
    <row r="17" spans="1:17" x14ac:dyDescent="0.25">
      <c r="A17" t="s">
        <v>100</v>
      </c>
      <c r="B17" t="s">
        <v>109</v>
      </c>
      <c r="C17" t="s">
        <v>20</v>
      </c>
      <c r="D17" t="s">
        <v>110</v>
      </c>
      <c r="E17" t="s">
        <v>115</v>
      </c>
      <c r="F17" t="s">
        <v>112</v>
      </c>
      <c r="H17">
        <v>9.1999999999999993</v>
      </c>
      <c r="I17">
        <v>40</v>
      </c>
      <c r="J17">
        <v>2.5</v>
      </c>
      <c r="L17">
        <f t="shared" si="0"/>
        <v>0.3979400086720376</v>
      </c>
      <c r="N17" t="s">
        <v>113</v>
      </c>
      <c r="O17">
        <v>2015</v>
      </c>
      <c r="Q17" t="s">
        <v>114</v>
      </c>
    </row>
    <row r="18" spans="1:17" x14ac:dyDescent="0.25">
      <c r="A18" t="s">
        <v>100</v>
      </c>
      <c r="B18" t="s">
        <v>109</v>
      </c>
      <c r="C18" t="s">
        <v>20</v>
      </c>
      <c r="D18" t="s">
        <v>110</v>
      </c>
      <c r="E18" t="s">
        <v>115</v>
      </c>
      <c r="F18" t="s">
        <v>112</v>
      </c>
      <c r="H18">
        <v>9.1999999999999993</v>
      </c>
      <c r="I18">
        <v>44</v>
      </c>
      <c r="J18">
        <v>1.1000000000000001</v>
      </c>
      <c r="L18">
        <f t="shared" si="0"/>
        <v>4.1392685158225077E-2</v>
      </c>
      <c r="N18" t="s">
        <v>113</v>
      </c>
      <c r="O18">
        <v>2015</v>
      </c>
      <c r="Q18" t="s">
        <v>114</v>
      </c>
    </row>
    <row r="19" spans="1:17" x14ac:dyDescent="0.25">
      <c r="A19" t="s">
        <v>100</v>
      </c>
      <c r="B19" t="s">
        <v>109</v>
      </c>
      <c r="C19" t="s">
        <v>20</v>
      </c>
      <c r="D19" t="s">
        <v>110</v>
      </c>
      <c r="E19" t="s">
        <v>115</v>
      </c>
      <c r="F19" t="s">
        <v>112</v>
      </c>
      <c r="H19">
        <v>9.1999999999999993</v>
      </c>
      <c r="I19">
        <v>48</v>
      </c>
      <c r="J19">
        <v>0.8</v>
      </c>
      <c r="L19">
        <f t="shared" si="0"/>
        <v>-9.6910013008056392E-2</v>
      </c>
      <c r="N19" t="s">
        <v>113</v>
      </c>
      <c r="O19">
        <v>2015</v>
      </c>
      <c r="Q19" t="s">
        <v>114</v>
      </c>
    </row>
    <row r="20" spans="1:17" x14ac:dyDescent="0.25">
      <c r="A20" t="s">
        <v>100</v>
      </c>
      <c r="B20" t="s">
        <v>109</v>
      </c>
      <c r="C20" t="s">
        <v>20</v>
      </c>
      <c r="D20" t="s">
        <v>110</v>
      </c>
      <c r="E20" t="s">
        <v>115</v>
      </c>
      <c r="F20" t="s">
        <v>112</v>
      </c>
      <c r="H20">
        <v>10.199999999999999</v>
      </c>
      <c r="I20">
        <v>40</v>
      </c>
      <c r="J20">
        <v>1.3</v>
      </c>
      <c r="L20">
        <f t="shared" si="0"/>
        <v>0.11394335230683679</v>
      </c>
      <c r="N20" t="s">
        <v>113</v>
      </c>
      <c r="O20">
        <v>2015</v>
      </c>
      <c r="Q20" t="s">
        <v>114</v>
      </c>
    </row>
    <row r="21" spans="1:17" x14ac:dyDescent="0.25">
      <c r="A21" t="s">
        <v>100</v>
      </c>
      <c r="B21" t="s">
        <v>109</v>
      </c>
      <c r="C21" t="s">
        <v>20</v>
      </c>
      <c r="D21" t="s">
        <v>110</v>
      </c>
      <c r="E21" t="s">
        <v>115</v>
      </c>
      <c r="F21" t="s">
        <v>112</v>
      </c>
      <c r="H21">
        <v>10.199999999999999</v>
      </c>
      <c r="I21">
        <v>44</v>
      </c>
      <c r="J21">
        <v>0.7</v>
      </c>
      <c r="L21">
        <f t="shared" si="0"/>
        <v>-0.15490195998574319</v>
      </c>
      <c r="N21" t="s">
        <v>113</v>
      </c>
      <c r="O21">
        <v>2015</v>
      </c>
      <c r="Q21" t="s">
        <v>114</v>
      </c>
    </row>
    <row r="22" spans="1:17" x14ac:dyDescent="0.25">
      <c r="A22" t="s">
        <v>100</v>
      </c>
      <c r="B22" t="s">
        <v>109</v>
      </c>
      <c r="C22" t="s">
        <v>20</v>
      </c>
      <c r="D22" t="s">
        <v>110</v>
      </c>
      <c r="E22" t="s">
        <v>115</v>
      </c>
      <c r="F22" t="s">
        <v>112</v>
      </c>
      <c r="H22">
        <v>10.199999999999999</v>
      </c>
      <c r="I22">
        <v>48</v>
      </c>
      <c r="J22">
        <v>0.3</v>
      </c>
      <c r="L22">
        <f t="shared" si="0"/>
        <v>-0.52287874528033762</v>
      </c>
      <c r="N22" t="s">
        <v>113</v>
      </c>
      <c r="O22">
        <v>2015</v>
      </c>
      <c r="Q22" t="s">
        <v>114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B5A6EC315D5439F9BCFCFB977BF1D" ma:contentTypeVersion="1" ma:contentTypeDescription="Create a new document." ma:contentTypeScope="" ma:versionID="16c3c4b42fd10e67dced7ee6ff7488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1ed251056e4bb5490090c89f65c250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CC5BA1-9702-4C38-A5FD-E3A34DFBF0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AF87DD-4C7B-429D-AEDC-9ED7B8896F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8645682-1DE9-4824-A0FC-5F9BAF8BAE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AI</vt:lpstr>
      <vt:lpstr>PRRS</vt:lpstr>
      <vt:lpstr>ASF</vt:lpstr>
      <vt:lpstr>FMD</vt:lpstr>
      <vt:lpstr>ND</vt:lpstr>
      <vt:lpstr>CSF</vt:lpstr>
      <vt:lpstr>PED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2019-06-02T20:27:54Z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0x0101009CAB5A6EC315D5439F9BCFCFB977BF1D</vt:lpwstr>
  </property>
</Properties>
</file>